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13" firstSheet="10" activeTab="17"/>
  </bookViews>
  <sheets>
    <sheet name="DCB" sheetId="1" r:id="rId1"/>
    <sheet name="ComprColl. LR-RR" sheetId="2" r:id="rId2"/>
    <sheet name="Chart RR" sheetId="3" r:id="rId3"/>
    <sheet name="Chart LR" sheetId="4" r:id="rId4"/>
    <sheet name="Last 9 yrs Coll." sheetId="5" r:id="rId5"/>
    <sheet name="Chartcoll" sheetId="6" r:id="rId6"/>
    <sheet name="Taluk DCB LR" sheetId="7" r:id="rId7"/>
    <sheet name="Taluk DCB RR" sheetId="8" r:id="rId8"/>
    <sheet name="RR SPL. office DCB" sheetId="9" r:id="rId9"/>
    <sheet name="ComprColl DC" sheetId="10" r:id="rId10"/>
    <sheet name="ComprColl.TalukLR" sheetId="11" r:id="rId11"/>
    <sheet name="ComprColl. Taluk RR" sheetId="12" r:id="rId12"/>
    <sheet name="ComprColl. SPl. RR" sheetId="13" r:id="rId13"/>
    <sheet name="DC Rank RR" sheetId="14" r:id="rId14"/>
    <sheet name="DC Rank LR" sheetId="15" r:id="rId15"/>
    <sheet name="Taluk Rank RR" sheetId="16" r:id="rId16"/>
    <sheet name="Taluk Rank LR" sheetId="17" r:id="rId17"/>
    <sheet name="RR Spl. Office Rank" sheetId="18" r:id="rId18"/>
  </sheets>
  <externalReferences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<sst xmlns="http://schemas.openxmlformats.org/spreadsheetml/2006/main" count="2574" uniqueCount="349">
  <si>
    <t>DISTRICT WISE  D.C.B STATEMENT -  MARCH  2010</t>
  </si>
  <si>
    <t>LAND REVENUE ITEMS</t>
  </si>
  <si>
    <t>Amount in lakhs</t>
  </si>
  <si>
    <t>Dist</t>
  </si>
  <si>
    <t>Demand at the end of February               2010</t>
  </si>
  <si>
    <t>Demand during              the Month</t>
  </si>
  <si>
    <t>Total Demand</t>
  </si>
  <si>
    <t>STAY</t>
  </si>
  <si>
    <t>Total Stay</t>
  </si>
  <si>
    <t>Amount not collectable due to reassessment/   RRC returned</t>
  </si>
  <si>
    <t xml:space="preserve">Amount under Remission/ Write off </t>
  </si>
  <si>
    <t>Total Deductions</t>
  </si>
  <si>
    <t>Collectable      Demand</t>
  </si>
  <si>
    <t>Collection up to the end of the previous month</t>
  </si>
  <si>
    <t>Collection during the month</t>
  </si>
  <si>
    <t>Total Collection</t>
  </si>
  <si>
    <t>Collectable Balance</t>
  </si>
  <si>
    <t>% of Collection</t>
  </si>
  <si>
    <t xml:space="preserve">Court </t>
  </si>
  <si>
    <t>Govt</t>
  </si>
  <si>
    <t>Appl.Auth</t>
  </si>
  <si>
    <t>TVM</t>
  </si>
  <si>
    <t>KLM</t>
  </si>
  <si>
    <t>PTA</t>
  </si>
  <si>
    <t>ALP</t>
  </si>
  <si>
    <t>KTM</t>
  </si>
  <si>
    <t>IDK</t>
  </si>
  <si>
    <t>EKM</t>
  </si>
  <si>
    <t>TSR</t>
  </si>
  <si>
    <t>PKD</t>
  </si>
  <si>
    <t>MLP</t>
  </si>
  <si>
    <t>KKD</t>
  </si>
  <si>
    <t>WYD</t>
  </si>
  <si>
    <t>KNR</t>
  </si>
  <si>
    <t>KSGD</t>
  </si>
  <si>
    <t>TOTAL</t>
  </si>
  <si>
    <t>Joint  Commissioner</t>
  </si>
  <si>
    <t>ITEM WISE  D.C.B STATEMENT -  MARCH  2010</t>
  </si>
  <si>
    <t xml:space="preserve">Amount under Remission/Write off </t>
  </si>
  <si>
    <t>Collectable Demand</t>
  </si>
  <si>
    <t>BT(A)</t>
  </si>
  <si>
    <t>BT(C)</t>
  </si>
  <si>
    <t>BT Total</t>
  </si>
  <si>
    <t>LROBT(A)</t>
  </si>
  <si>
    <t>LROBT(C)</t>
  </si>
  <si>
    <t xml:space="preserve">LROBT Total </t>
  </si>
  <si>
    <t>PLT(A)</t>
  </si>
  <si>
    <t>PLT(C)</t>
  </si>
  <si>
    <t>PLT Total</t>
  </si>
  <si>
    <t>IRC(A)</t>
  </si>
  <si>
    <t>IRC(C)</t>
  </si>
  <si>
    <t>IRC Total</t>
  </si>
  <si>
    <t>BLT(A)</t>
  </si>
  <si>
    <t>BLT(C)</t>
  </si>
  <si>
    <t>BLT Total</t>
  </si>
  <si>
    <t>LXT(A)</t>
  </si>
  <si>
    <t>LXT(C)</t>
  </si>
  <si>
    <t>LXT  Total</t>
  </si>
  <si>
    <t xml:space="preserve">Misc. Non Tax </t>
  </si>
  <si>
    <t>L.R Grn.Total</t>
  </si>
  <si>
    <t>BT: Basic  Tax, LROBT : Land Revnue other than Basic tax, PLT : Plantation Tax</t>
  </si>
  <si>
    <t>IRC : Irrigation cess, BLT : Building Tax, LXT : Luxuary Tax, (A) : Arrerar, (C) : Current, Misc. Non Tax (MIGH/LIGH, RHS,KALWF etc..)</t>
  </si>
  <si>
    <t>DISTRICT WISE  D.C.B STATEMENT - MARCH  2010</t>
  </si>
  <si>
    <t>REVENUE RECOVERY</t>
  </si>
  <si>
    <t xml:space="preserve">  Joint  Commissioner</t>
  </si>
  <si>
    <t>ITEM WISE  D.C.B STATEMENT -MARCH  2010</t>
  </si>
  <si>
    <t>ST</t>
  </si>
  <si>
    <t>AIT</t>
  </si>
  <si>
    <t>ABK</t>
  </si>
  <si>
    <t>MVT</t>
  </si>
  <si>
    <t>LIOD</t>
  </si>
  <si>
    <t>STL</t>
  </si>
  <si>
    <t>OMGD</t>
  </si>
  <si>
    <t>RR Coll. Charg.</t>
  </si>
  <si>
    <t>KFC</t>
  </si>
  <si>
    <t>KSFE</t>
  </si>
  <si>
    <t>TWWF</t>
  </si>
  <si>
    <t>Other Boards</t>
  </si>
  <si>
    <t xml:space="preserve">Bank Loan </t>
  </si>
  <si>
    <t>ONGD</t>
  </si>
  <si>
    <t>R.R Gr Total</t>
  </si>
  <si>
    <t>ST - Sales Tax, AIT- Agricultural Income Tax, ABK- Abkari dues, MVT- Motor Vehicle Tax, LIOD- Loan Issued by Other Department, STL- Short Term Loan, OMGD- Other Misc.Govt. Dues,                                  KFC - Kerala Financial Corporation, KSFE- Kerala State Financial Enterprises, TWWF- Toddy Workers Welfare Fund, ONGD-Other Non-Govt. Dues</t>
  </si>
  <si>
    <t>Remarks</t>
  </si>
  <si>
    <t>Excess</t>
  </si>
  <si>
    <t>D.C.B STATEMENT - MARCH  2010</t>
  </si>
  <si>
    <t>BASIC TAX (Arrear)</t>
  </si>
  <si>
    <t>D.C.B STATEMENT -MARCH  2010</t>
  </si>
  <si>
    <t>BASIC TAX (Current)</t>
  </si>
  <si>
    <t xml:space="preserve">Excess Collection </t>
  </si>
  <si>
    <t>L.R.O.B.T (Arrear)</t>
  </si>
  <si>
    <t>L.R.O.B.T (Current)</t>
  </si>
  <si>
    <t>PLANTATION TAX (Arrear)</t>
  </si>
  <si>
    <t>PLANTATION TAX (Current)</t>
  </si>
  <si>
    <t>IRRIGATION CESS (Arrear)</t>
  </si>
  <si>
    <t>.</t>
  </si>
  <si>
    <t>IRRIGATION CESS (Current)</t>
  </si>
  <si>
    <t>BUILDING TAX (Arrear)</t>
  </si>
  <si>
    <t>BUILDING TAX (Current)</t>
  </si>
  <si>
    <t>LUXURY TAX (Arrear)</t>
  </si>
  <si>
    <t>LUXURY TAX (Current)</t>
  </si>
  <si>
    <t xml:space="preserve">Misc. Non-Tax items </t>
  </si>
  <si>
    <t>Misc.Non Tax Items  - MIGH/LIGH,RHS, KALWF etc</t>
  </si>
  <si>
    <t>SALES TAX</t>
  </si>
  <si>
    <t>AGRICULTURAL INCOME TAX</t>
  </si>
  <si>
    <t>ABKARI</t>
  </si>
  <si>
    <t>MOTOR VEHICLE TAX</t>
  </si>
  <si>
    <t>Loan issued by other departments</t>
  </si>
  <si>
    <t>SHORT TERM LOANS</t>
  </si>
  <si>
    <t>Other misc Government Dues</t>
  </si>
  <si>
    <t>Kerala Financial Corporation</t>
  </si>
  <si>
    <t>Kerala State Financial Enterprises</t>
  </si>
  <si>
    <t>Toddy Workers Welfare Fund</t>
  </si>
  <si>
    <t xml:space="preserve">Bank Dues </t>
  </si>
  <si>
    <t>Other misc  Non Government Dues</t>
  </si>
  <si>
    <t>DIST</t>
  </si>
  <si>
    <t xml:space="preserve">     DIFFERENCE</t>
  </si>
  <si>
    <t xml:space="preserve">      DIFFERENCE</t>
  </si>
  <si>
    <t>Joint Commissioner</t>
  </si>
  <si>
    <t xml:space="preserve">COMPARISON OF TOTAL   COLLECTION                                                                                                UP TO THE MONTH OF                                             MARCH  2009 &amp; 2010                                                                                                                       REVENUE RECOVERY                                               ( Amount in lakhs)     </t>
  </si>
  <si>
    <t xml:space="preserve">COMPARISON OF TOTAL   COLLECTION                                                                                                UP TO THE MONTH OF                                             MARCH  2009&amp; 2010                                                                                                                      LAND REVENUE                                                        ( Amount in lakhs)     </t>
  </si>
  <si>
    <t>LAND REVENUE COLLECTION FOR THE LAST NINE YEARS</t>
  </si>
  <si>
    <t>ITEMS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</si>
  <si>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</si>
  <si>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</si>
  <si>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</si>
  <si>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</si>
  <si>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</si>
  <si>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</si>
  <si>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</si>
  <si>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</si>
  <si>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</si>
  <si>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Basic Tax</t>
  </si>
  <si>
    <t xml:space="preserve">Land Revenue </t>
  </si>
  <si>
    <t>LROBT</t>
  </si>
  <si>
    <t>Plantation Tax</t>
  </si>
  <si>
    <t>Irrigation Cess</t>
  </si>
  <si>
    <t>Building Tax</t>
  </si>
  <si>
    <t>Luxury Tax</t>
  </si>
  <si>
    <t>Total</t>
  </si>
  <si>
    <t>REVENUE RECOVERY COLLECTION FOR THE LAST NINE YEARS</t>
  </si>
  <si>
    <t>Sales Tax</t>
  </si>
  <si>
    <t>Govt. Dues</t>
  </si>
  <si>
    <t>Agricultural Income Tax</t>
  </si>
  <si>
    <t>Abkari</t>
  </si>
  <si>
    <t>Motor Vehicle Tax</t>
  </si>
  <si>
    <t>Loan Issued by Other Department</t>
  </si>
  <si>
    <t>Short Term Loan</t>
  </si>
  <si>
    <t>Other Misc. Govt. Dues</t>
  </si>
  <si>
    <t>Total - A</t>
  </si>
  <si>
    <t>Non Govt Dues</t>
  </si>
  <si>
    <t>Other Misc.Non Govt. Dues</t>
  </si>
  <si>
    <t>Total- B</t>
  </si>
  <si>
    <t>R.R.Grand Total- (A+B)</t>
  </si>
  <si>
    <t>L.R.&amp; R.R Total</t>
  </si>
  <si>
    <t>TALUK D.C.B STATEMENT -  MARCH  2010</t>
  </si>
  <si>
    <t>LAND REVENUE ITEM</t>
  </si>
  <si>
    <t xml:space="preserve">SL No. </t>
  </si>
  <si>
    <t>Demand at the end of February 2010</t>
  </si>
  <si>
    <t>TVM DIST</t>
  </si>
  <si>
    <t>Thiruvananthapuram</t>
  </si>
  <si>
    <t>Neyyattinkara</t>
  </si>
  <si>
    <t>Nedumangad</t>
  </si>
  <si>
    <t>Chirayinkeezhu</t>
  </si>
  <si>
    <t>KLM DIST</t>
  </si>
  <si>
    <t>Kollam</t>
  </si>
  <si>
    <t>Kottarakkara</t>
  </si>
  <si>
    <t>Pathanapuram</t>
  </si>
  <si>
    <t>Karunagappalli</t>
  </si>
  <si>
    <t>Kunnathur</t>
  </si>
  <si>
    <t>PTA DIST</t>
  </si>
  <si>
    <t>Kozhenchery</t>
  </si>
  <si>
    <t>Adoor</t>
  </si>
  <si>
    <t>Thiruvalla</t>
  </si>
  <si>
    <t>Ranni</t>
  </si>
  <si>
    <t>Mallappalli</t>
  </si>
  <si>
    <t>ALP DIST</t>
  </si>
  <si>
    <t>Karthikapalli</t>
  </si>
  <si>
    <t>Mavelikara</t>
  </si>
  <si>
    <t>Chengannur</t>
  </si>
  <si>
    <t>Kuttanad</t>
  </si>
  <si>
    <t>Ambalappuzha</t>
  </si>
  <si>
    <t>Cherathala</t>
  </si>
  <si>
    <t>KTM DIST</t>
  </si>
  <si>
    <t xml:space="preserve">Changanassery </t>
  </si>
  <si>
    <t>Kanjirappalli</t>
  </si>
  <si>
    <t>Kottayam</t>
  </si>
  <si>
    <t xml:space="preserve">Meenachil </t>
  </si>
  <si>
    <t>Vaikam</t>
  </si>
  <si>
    <t>IDK DIST</t>
  </si>
  <si>
    <t>Thodupuzha</t>
  </si>
  <si>
    <t>Peerumeedu</t>
  </si>
  <si>
    <t>Devikulam</t>
  </si>
  <si>
    <t>Udumbanchola</t>
  </si>
  <si>
    <t>EKM DIST</t>
  </si>
  <si>
    <t>Kothamangalam</t>
  </si>
  <si>
    <t>Moovattupuzha</t>
  </si>
  <si>
    <t>Kunnathunad</t>
  </si>
  <si>
    <t>Aluva</t>
  </si>
  <si>
    <t>Kanayannur</t>
  </si>
  <si>
    <t>Kochi</t>
  </si>
  <si>
    <t>Paravur</t>
  </si>
  <si>
    <t>TSR DIST</t>
  </si>
  <si>
    <t xml:space="preserve">Kodungallour </t>
  </si>
  <si>
    <t>Mukundapuram</t>
  </si>
  <si>
    <t>Thrissur</t>
  </si>
  <si>
    <t>Chavakkad</t>
  </si>
  <si>
    <t>Thalappilli</t>
  </si>
  <si>
    <t>PKD DIST</t>
  </si>
  <si>
    <t>Chittoor</t>
  </si>
  <si>
    <t>Alathour</t>
  </si>
  <si>
    <t>Palakkad</t>
  </si>
  <si>
    <t>Ottappalam</t>
  </si>
  <si>
    <t>Mannarkad</t>
  </si>
  <si>
    <t>MLP DIST</t>
  </si>
  <si>
    <t>Ponnani</t>
  </si>
  <si>
    <t>Tirur</t>
  </si>
  <si>
    <t>Tirurangadi</t>
  </si>
  <si>
    <t>Perinthalmanna</t>
  </si>
  <si>
    <t>Eranad</t>
  </si>
  <si>
    <t>Nilambur</t>
  </si>
  <si>
    <t>KKD DIST</t>
  </si>
  <si>
    <t>Kozhikkode</t>
  </si>
  <si>
    <t>Koyilandi</t>
  </si>
  <si>
    <t>Vadakara</t>
  </si>
  <si>
    <t>WYD DIST</t>
  </si>
  <si>
    <t>Sulthan Betharey</t>
  </si>
  <si>
    <t>Vaythiri</t>
  </si>
  <si>
    <t>Manathavady</t>
  </si>
  <si>
    <t>KNR DIST</t>
  </si>
  <si>
    <t>Thalassery</t>
  </si>
  <si>
    <t>Kannur</t>
  </si>
  <si>
    <t>Thaliparambu</t>
  </si>
  <si>
    <t>KSD DIST</t>
  </si>
  <si>
    <t>Hosedurg</t>
  </si>
  <si>
    <t>Kasargod</t>
  </si>
  <si>
    <t xml:space="preserve"> REVENUE  RECOVERY ITEM</t>
  </si>
  <si>
    <t>R.R.SPL.OFFICE  D.C.B STATEMENT -  MARCH  2010</t>
  </si>
  <si>
    <t>Kozhenchery (PTA)</t>
  </si>
  <si>
    <t>Pala (Meenachil)</t>
  </si>
  <si>
    <t>Nedumkandam</t>
  </si>
  <si>
    <t>Trissur</t>
  </si>
  <si>
    <t>Ambalavayal</t>
  </si>
  <si>
    <t>Comparative Study of Collectable Demand and Collection for the years 2008-09 and 2009-10</t>
  </si>
  <si>
    <t>District</t>
  </si>
  <si>
    <t>Collection</t>
  </si>
  <si>
    <t xml:space="preserve">Increase or Decrease in Collectable Demand </t>
  </si>
  <si>
    <t>% of increases</t>
  </si>
  <si>
    <t xml:space="preserve">Increase or Decrease in Collection </t>
  </si>
  <si>
    <t>REVENUE RECOVERY  ITEMS</t>
  </si>
  <si>
    <t xml:space="preserve">in Taluks </t>
  </si>
  <si>
    <t xml:space="preserve"> REVENUE RECOVERY  ITEMS</t>
  </si>
  <si>
    <t>in Taluks</t>
  </si>
  <si>
    <t>LAND  REVENUE  ITEMS</t>
  </si>
  <si>
    <t>REVENUE  RECOVERY  ITEMS IN R.R.SPL. OFFICES</t>
  </si>
  <si>
    <t>Pathanamthitta</t>
  </si>
  <si>
    <t>DISTRICTS RANKING</t>
  </si>
  <si>
    <t xml:space="preserve">Ranking  on the basis of Total Demand, Collectable Demand and Increase in Collection from the last year </t>
  </si>
  <si>
    <t>REVENUE RECOVERY ITEMS</t>
  </si>
  <si>
    <t>Sl No.</t>
  </si>
  <si>
    <t>Districts</t>
  </si>
  <si>
    <t>TOTAL DEMAND</t>
  </si>
  <si>
    <t>COLLECTABLEDEMAND</t>
  </si>
  <si>
    <t>INCREASE IN COLLECTION</t>
  </si>
  <si>
    <t>Total %</t>
  </si>
  <si>
    <t>Overall Rank</t>
  </si>
  <si>
    <t>%</t>
  </si>
  <si>
    <t>Rank</t>
  </si>
  <si>
    <t>Collection During Last Year (2008-09)</t>
  </si>
  <si>
    <t>Collection During the Year (2009-10)</t>
  </si>
  <si>
    <t>Increase in Collection</t>
  </si>
  <si>
    <r>
      <t>17</t>
    </r>
    <r>
      <rPr>
        <sz val="10"/>
        <rFont val="Arial"/>
        <family val="2"/>
      </rPr>
      <t>(5+9+14)</t>
    </r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</si>
  <si>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</si>
  <si>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</si>
  <si>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</si>
  <si>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</si>
  <si>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</si>
  <si>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</si>
  <si>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</si>
  <si>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</si>
  <si>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</si>
  <si>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</si>
  <si>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</si>
  <si>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</si>
  <si>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</si>
  <si>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</si>
  <si>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Overall Rank is assigned on the basis of the total percentage achieved in the above three indicaters</t>
  </si>
  <si>
    <t>A</t>
  </si>
  <si>
    <t>B</t>
  </si>
  <si>
    <t>C</t>
  </si>
  <si>
    <t xml:space="preserve">2nd </t>
  </si>
  <si>
    <t>TALUK RANKING</t>
  </si>
  <si>
    <t xml:space="preserve">Ranking on the basis of Total Demand, Collectable Demand and Increase in Collection from the last year </t>
  </si>
  <si>
    <t xml:space="preserve"> REVENUE  RECOVERY ITEMS</t>
  </si>
  <si>
    <t>Taluk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</si>
  <si>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</si>
  <si>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</si>
  <si>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</si>
  <si>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</si>
  <si>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</si>
  <si>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</si>
  <si>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</si>
  <si>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</si>
  <si>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</si>
  <si>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</si>
  <si>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</si>
  <si>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</si>
  <si>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</si>
  <si>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</si>
  <si>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Alathur</t>
  </si>
  <si>
    <t>29th</t>
  </si>
  <si>
    <t>30th</t>
  </si>
  <si>
    <t>31st</t>
  </si>
  <si>
    <t>32nd</t>
  </si>
  <si>
    <t>33rd</t>
  </si>
  <si>
    <t>34th</t>
  </si>
  <si>
    <t>35th</t>
  </si>
  <si>
    <t>36th</t>
  </si>
  <si>
    <t xml:space="preserve">Kodungalloor 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</si>
  <si>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</si>
  <si>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</si>
  <si>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</si>
  <si>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</si>
  <si>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</si>
  <si>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</si>
  <si>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</si>
  <si>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</si>
  <si>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</si>
  <si>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</si>
  <si>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</si>
  <si>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</si>
  <si>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</si>
  <si>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</si>
  <si>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</si>
  <si>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</si>
  <si>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</si>
  <si>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</si>
  <si>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</si>
  <si>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</si>
  <si>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</si>
  <si>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</si>
  <si>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</si>
  <si>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</si>
  <si>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</si>
  <si>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</si>
  <si>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</si>
  <si>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LAND REVENUE  ITEMS</t>
  </si>
  <si>
    <t>RR SPL. OFFICES</t>
  </si>
  <si>
    <t xml:space="preserve"> REVENUE  RECOVERY </t>
  </si>
  <si>
    <t>RR.Spl.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</si>
</sst>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;[Red]0"/>
  </numFmts>
  <fonts count="2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20"/>
      <name val="Arial"/>
      <family val="2"/>
    </font>
    <font>
      <sz val="10"/>
      <color indexed="18"/>
      <name val="Arial"/>
      <family val="2"/>
    </font>
    <font>
      <b/>
      <u val="single"/>
      <sz val="12"/>
      <color indexed="58"/>
      <name val="Arial"/>
      <family val="2"/>
    </font>
    <font>
      <b/>
      <u val="single"/>
      <sz val="14"/>
      <color indexed="11"/>
      <name val="Arial"/>
      <family val="2"/>
    </font>
    <font>
      <b/>
      <sz val="11"/>
      <color indexed="10"/>
      <name val="Arial"/>
      <family val="2"/>
    </font>
    <font>
      <b/>
      <u val="single"/>
      <sz val="12"/>
      <name val="Arial"/>
      <family val="2"/>
    </font>
    <font>
      <b/>
      <sz val="10"/>
      <color indexed="58"/>
      <name val="Arial"/>
      <family val="2"/>
    </font>
    <font>
      <b/>
      <sz val="16"/>
      <name val="Arial"/>
      <family val="2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6" fillId="0" borderId="1" xfId="0" applyNumberFormat="1" applyFont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8" fillId="0" borderId="1" xfId="0" applyNumberFormat="1" applyFont="1" applyBorder="1" applyAlignment="1">
      <alignment/>
    </xf>
    <xf numFmtId="2" fontId="4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7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6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3" xfId="0" applyFont="1" applyFill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textRotation="90" wrapText="1"/>
    </xf>
    <xf numFmtId="2" fontId="0" fillId="0" borderId="4" xfId="0" applyNumberFormat="1" applyFill="1" applyBorder="1" applyAlignment="1">
      <alignment wrapText="1"/>
    </xf>
    <xf numFmtId="2" fontId="0" fillId="0" borderId="4" xfId="0" applyNumberFormat="1" applyFill="1" applyBorder="1" applyAlignment="1">
      <alignment/>
    </xf>
    <xf numFmtId="2" fontId="0" fillId="0" borderId="1" xfId="0" applyNumberFormat="1" applyFill="1" applyBorder="1" applyAlignment="1">
      <alignment horizontal="center" vertical="center" textRotation="90" wrapText="1"/>
    </xf>
    <xf numFmtId="2" fontId="0" fillId="0" borderId="4" xfId="0" applyNumberForma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2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9" fontId="0" fillId="0" borderId="0" xfId="19" applyAlignment="1">
      <alignment/>
    </xf>
    <xf numFmtId="2" fontId="6" fillId="2" borderId="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5" fillId="0" borderId="6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7" xfId="0" applyNumberFormat="1" applyFon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2" fontId="6" fillId="3" borderId="1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/>
    </xf>
    <xf numFmtId="0" fontId="4" fillId="4" borderId="9" xfId="0" applyFont="1" applyFill="1" applyBorder="1" applyAlignment="1">
      <alignment/>
    </xf>
    <xf numFmtId="2" fontId="0" fillId="4" borderId="9" xfId="0" applyNumberFormat="1" applyFill="1" applyBorder="1" applyAlignment="1">
      <alignment/>
    </xf>
    <xf numFmtId="1" fontId="0" fillId="4" borderId="9" xfId="0" applyNumberForma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" fontId="4" fillId="4" borderId="9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right"/>
    </xf>
    <xf numFmtId="1" fontId="4" fillId="4" borderId="13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4" borderId="9" xfId="0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1" fontId="0" fillId="4" borderId="1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164" fontId="0" fillId="0" borderId="1" xfId="0" applyNumberForma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 textRotation="90"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5" xfId="0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164" fontId="0" fillId="0" borderId="5" xfId="0" applyNumberFormat="1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90"/>
    </xf>
    <xf numFmtId="0" fontId="0" fillId="0" borderId="4" xfId="0" applyFont="1" applyBorder="1" applyAlignment="1">
      <alignment horizontal="center" vertical="center" textRotation="90"/>
    </xf>
    <xf numFmtId="0" fontId="0" fillId="0" borderId="2" xfId="0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2" fontId="0" fillId="0" borderId="1" xfId="0" applyNumberForma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textRotation="90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COMPARISON OF REVENUE RECOVERY COLLECTION FOR THE YEAR 2009 &amp; 2010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03825"/>
          <c:y val="0.0735"/>
          <c:w val="0.89475"/>
          <c:h val="0.8385"/>
        </c:manualLayout>
      </c:layout>
      <c:lineChart>
        <c:grouping val="standard"/>
        <c:varyColors val="0"/>
        <c:ser>
          <c:idx val="0"/>
          <c:order val="0"/>
          <c:tx>
            <c:v>Collection for the year 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'ComprColl. LR-RR'!$A$6:$A$19</c:f>
              <c:strCache>
                <c:ptCount val="14"/>
                <c:pt idx="0">
                  <c:v>TVM</c:v>
                </c:pt>
                <c:pt idx="1">
                  <c:v>KLM</c:v>
                </c:pt>
                <c:pt idx="2">
                  <c:v>PTA</c:v>
                </c:pt>
                <c:pt idx="3">
                  <c:v>ALP</c:v>
                </c:pt>
                <c:pt idx="4">
                  <c:v>KTM</c:v>
                </c:pt>
                <c:pt idx="5">
                  <c:v>IDK</c:v>
                </c:pt>
                <c:pt idx="6">
                  <c:v>EKM</c:v>
                </c:pt>
                <c:pt idx="7">
                  <c:v>TSR</c:v>
                </c:pt>
                <c:pt idx="8">
                  <c:v>PKD</c:v>
                </c:pt>
                <c:pt idx="9">
                  <c:v>MLP</c:v>
                </c:pt>
                <c:pt idx="10">
                  <c:v>KKD</c:v>
                </c:pt>
                <c:pt idx="11">
                  <c:v>WYD</c:v>
                </c:pt>
                <c:pt idx="12">
                  <c:v>KNR</c:v>
                </c:pt>
                <c:pt idx="13">
                  <c:v>KSGD</c:v>
                </c:pt>
              </c:strCache>
            </c:strRef>
          </c:cat>
          <c:val>
            <c:numRef>
              <c:f>'ComprColl. LR-RR'!$B$6:$B$19</c:f>
              <c:numCache>
                <c:ptCount val="14"/>
                <c:pt idx="0">
                  <c:v>3988.13</c:v>
                </c:pt>
                <c:pt idx="1">
                  <c:v>3047.17</c:v>
                </c:pt>
                <c:pt idx="2">
                  <c:v>1111.21</c:v>
                </c:pt>
                <c:pt idx="3">
                  <c:v>1527.3</c:v>
                </c:pt>
                <c:pt idx="4">
                  <c:v>2236.62</c:v>
                </c:pt>
                <c:pt idx="5">
                  <c:v>571.74</c:v>
                </c:pt>
                <c:pt idx="6">
                  <c:v>7517.84</c:v>
                </c:pt>
                <c:pt idx="7">
                  <c:v>2672.43</c:v>
                </c:pt>
                <c:pt idx="8">
                  <c:v>1243.85</c:v>
                </c:pt>
                <c:pt idx="9">
                  <c:v>686.28</c:v>
                </c:pt>
                <c:pt idx="10">
                  <c:v>1951.88</c:v>
                </c:pt>
                <c:pt idx="11">
                  <c:v>336.41</c:v>
                </c:pt>
                <c:pt idx="12">
                  <c:v>1004.42</c:v>
                </c:pt>
                <c:pt idx="13">
                  <c:v>359.23</c:v>
                </c:pt>
              </c:numCache>
            </c:numRef>
          </c:val>
          <c:smooth val="0"/>
        </c:ser>
        <c:ser>
          <c:idx val="1"/>
          <c:order val="1"/>
          <c:tx>
            <c:v>Collection for the year 2010"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'ComprColl. LR-RR'!$A$6:$A$19</c:f>
              <c:strCache>
                <c:ptCount val="14"/>
                <c:pt idx="0">
                  <c:v>TVM</c:v>
                </c:pt>
                <c:pt idx="1">
                  <c:v>KLM</c:v>
                </c:pt>
                <c:pt idx="2">
                  <c:v>PTA</c:v>
                </c:pt>
                <c:pt idx="3">
                  <c:v>ALP</c:v>
                </c:pt>
                <c:pt idx="4">
                  <c:v>KTM</c:v>
                </c:pt>
                <c:pt idx="5">
                  <c:v>IDK</c:v>
                </c:pt>
                <c:pt idx="6">
                  <c:v>EKM</c:v>
                </c:pt>
                <c:pt idx="7">
                  <c:v>TSR</c:v>
                </c:pt>
                <c:pt idx="8">
                  <c:v>PKD</c:v>
                </c:pt>
                <c:pt idx="9">
                  <c:v>MLP</c:v>
                </c:pt>
                <c:pt idx="10">
                  <c:v>KKD</c:v>
                </c:pt>
                <c:pt idx="11">
                  <c:v>WYD</c:v>
                </c:pt>
                <c:pt idx="12">
                  <c:v>KNR</c:v>
                </c:pt>
                <c:pt idx="13">
                  <c:v>KSGD</c:v>
                </c:pt>
              </c:strCache>
            </c:strRef>
          </c:cat>
          <c:val>
            <c:numRef>
              <c:f>'ComprColl. LR-RR'!$C$6:$C$19</c:f>
              <c:numCache>
                <c:ptCount val="14"/>
                <c:pt idx="0">
                  <c:v>4014.66</c:v>
                </c:pt>
                <c:pt idx="1">
                  <c:v>3199.79</c:v>
                </c:pt>
                <c:pt idx="2">
                  <c:v>1305.26</c:v>
                </c:pt>
                <c:pt idx="3">
                  <c:v>1688.32</c:v>
                </c:pt>
                <c:pt idx="4">
                  <c:v>2424.3399999999997</c:v>
                </c:pt>
                <c:pt idx="5">
                  <c:v>755.3799999999999</c:v>
                </c:pt>
                <c:pt idx="6">
                  <c:v>5284.38</c:v>
                </c:pt>
                <c:pt idx="7">
                  <c:v>3867.0600000000004</c:v>
                </c:pt>
                <c:pt idx="8">
                  <c:v>1396.15</c:v>
                </c:pt>
                <c:pt idx="9">
                  <c:v>594.05</c:v>
                </c:pt>
                <c:pt idx="10">
                  <c:v>2039.32</c:v>
                </c:pt>
                <c:pt idx="11">
                  <c:v>394.12</c:v>
                </c:pt>
                <c:pt idx="12">
                  <c:v>1169.4699999999998</c:v>
                </c:pt>
                <c:pt idx="13">
                  <c:v>431.07</c:v>
                </c:pt>
              </c:numCache>
            </c:numRef>
          </c:val>
          <c:smooth val="0"/>
        </c:ser>
        <c:marker val="1"/>
        <c:axId val="15872579"/>
        <c:axId val="8635484"/>
      </c:lineChart>
      <c:catAx>
        <c:axId val="15872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DISTRICTS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8635484"/>
        <c:crosses val="autoZero"/>
        <c:auto val="1"/>
        <c:lblOffset val="100"/>
        <c:noMultiLvlLbl val="0"/>
      </c:catAx>
      <c:valAx>
        <c:axId val="8635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(in lakhs)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  <c:crossAx val="1587257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025"/>
          <c:y val="0.10875"/>
          <c:w val="0.242"/>
          <c:h val="0.06675"/>
        </c:manualLayout>
      </c:layout>
      <c:overlay val="0"/>
      <c:spPr>
        <a:gradFill rotWithShape="1">
          <a:gsLst>
            <a:gs pos="0">
              <a:srgbClr val="FFFF00"/>
            </a:gs>
            <a:gs pos="100000">
              <a:srgbClr val="C1C100"/>
            </a:gs>
          </a:gsLst>
          <a:path path="rect">
            <a:fillToRect r="100000" b="100000"/>
          </a:path>
        </a:gradFill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COMPARISON OF LAND REVENUE COLLECTION FOR THE YEAR 2009 &amp; 2010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675"/>
          <c:w val="0.89075"/>
          <c:h val="0.83375"/>
        </c:manualLayout>
      </c:layout>
      <c:lineChart>
        <c:grouping val="standard"/>
        <c:varyColors val="0"/>
        <c:ser>
          <c:idx val="0"/>
          <c:order val="0"/>
          <c:tx>
            <c:v>Collection for the year 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'ComprColl. LR-RR'!$G$6:$G$19</c:f>
              <c:strCache>
                <c:ptCount val="14"/>
                <c:pt idx="0">
                  <c:v>TVM</c:v>
                </c:pt>
                <c:pt idx="1">
                  <c:v>KLM</c:v>
                </c:pt>
                <c:pt idx="2">
                  <c:v>PTA</c:v>
                </c:pt>
                <c:pt idx="3">
                  <c:v>ALP</c:v>
                </c:pt>
                <c:pt idx="4">
                  <c:v>KTM</c:v>
                </c:pt>
                <c:pt idx="5">
                  <c:v>IDK</c:v>
                </c:pt>
                <c:pt idx="6">
                  <c:v>EKM</c:v>
                </c:pt>
                <c:pt idx="7">
                  <c:v>TSR</c:v>
                </c:pt>
                <c:pt idx="8">
                  <c:v>PKD</c:v>
                </c:pt>
                <c:pt idx="9">
                  <c:v>MLP</c:v>
                </c:pt>
                <c:pt idx="10">
                  <c:v>KKD</c:v>
                </c:pt>
                <c:pt idx="11">
                  <c:v>WYD</c:v>
                </c:pt>
                <c:pt idx="12">
                  <c:v>KNR</c:v>
                </c:pt>
                <c:pt idx="13">
                  <c:v>KSGD</c:v>
                </c:pt>
              </c:strCache>
            </c:strRef>
          </c:cat>
          <c:val>
            <c:numRef>
              <c:f>'ComprColl. LR-RR'!$H$6:$H$19</c:f>
              <c:numCache>
                <c:ptCount val="14"/>
                <c:pt idx="0">
                  <c:v>1220.67</c:v>
                </c:pt>
                <c:pt idx="1">
                  <c:v>983.03</c:v>
                </c:pt>
                <c:pt idx="2">
                  <c:v>1160.14</c:v>
                </c:pt>
                <c:pt idx="3">
                  <c:v>477.18</c:v>
                </c:pt>
                <c:pt idx="4">
                  <c:v>803.69</c:v>
                </c:pt>
                <c:pt idx="5">
                  <c:v>390.14</c:v>
                </c:pt>
                <c:pt idx="6">
                  <c:v>2529.82</c:v>
                </c:pt>
                <c:pt idx="7">
                  <c:v>1616.39</c:v>
                </c:pt>
                <c:pt idx="8">
                  <c:v>838.97</c:v>
                </c:pt>
                <c:pt idx="9">
                  <c:v>1949.15</c:v>
                </c:pt>
                <c:pt idx="10">
                  <c:v>996.18</c:v>
                </c:pt>
                <c:pt idx="11">
                  <c:v>317.11</c:v>
                </c:pt>
                <c:pt idx="12">
                  <c:v>1289.37</c:v>
                </c:pt>
                <c:pt idx="13">
                  <c:v>523.59</c:v>
                </c:pt>
              </c:numCache>
            </c:numRef>
          </c:val>
          <c:smooth val="0"/>
        </c:ser>
        <c:ser>
          <c:idx val="1"/>
          <c:order val="1"/>
          <c:tx>
            <c:v>Collection for the year 2010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'ComprColl. LR-RR'!$G$6:$G$19</c:f>
              <c:strCache>
                <c:ptCount val="14"/>
                <c:pt idx="0">
                  <c:v>TVM</c:v>
                </c:pt>
                <c:pt idx="1">
                  <c:v>KLM</c:v>
                </c:pt>
                <c:pt idx="2">
                  <c:v>PTA</c:v>
                </c:pt>
                <c:pt idx="3">
                  <c:v>ALP</c:v>
                </c:pt>
                <c:pt idx="4">
                  <c:v>KTM</c:v>
                </c:pt>
                <c:pt idx="5">
                  <c:v>IDK</c:v>
                </c:pt>
                <c:pt idx="6">
                  <c:v>EKM</c:v>
                </c:pt>
                <c:pt idx="7">
                  <c:v>TSR</c:v>
                </c:pt>
                <c:pt idx="8">
                  <c:v>PKD</c:v>
                </c:pt>
                <c:pt idx="9">
                  <c:v>MLP</c:v>
                </c:pt>
                <c:pt idx="10">
                  <c:v>KKD</c:v>
                </c:pt>
                <c:pt idx="11">
                  <c:v>WYD</c:v>
                </c:pt>
                <c:pt idx="12">
                  <c:v>KNR</c:v>
                </c:pt>
                <c:pt idx="13">
                  <c:v>KSGD</c:v>
                </c:pt>
              </c:strCache>
            </c:strRef>
          </c:cat>
          <c:val>
            <c:numRef>
              <c:f>'ComprColl. LR-RR'!$I$6:$I$19</c:f>
              <c:numCache>
                <c:ptCount val="14"/>
                <c:pt idx="0">
                  <c:v>1333.67</c:v>
                </c:pt>
                <c:pt idx="1">
                  <c:v>1042.8599999999997</c:v>
                </c:pt>
                <c:pt idx="2">
                  <c:v>965.8100000000001</c:v>
                </c:pt>
                <c:pt idx="3">
                  <c:v>529.2099999999999</c:v>
                </c:pt>
                <c:pt idx="4">
                  <c:v>878.83</c:v>
                </c:pt>
                <c:pt idx="5">
                  <c:v>492.95000000000005</c:v>
                </c:pt>
                <c:pt idx="6">
                  <c:v>2962.67</c:v>
                </c:pt>
                <c:pt idx="7">
                  <c:v>1962.5400000000002</c:v>
                </c:pt>
                <c:pt idx="8">
                  <c:v>907.3200000000002</c:v>
                </c:pt>
                <c:pt idx="9">
                  <c:v>2199.8700000000003</c:v>
                </c:pt>
                <c:pt idx="10">
                  <c:v>1104.82</c:v>
                </c:pt>
                <c:pt idx="11">
                  <c:v>344.92999999999995</c:v>
                </c:pt>
                <c:pt idx="12">
                  <c:v>1082.2099999999998</c:v>
                </c:pt>
                <c:pt idx="13">
                  <c:v>568.3100000000001</c:v>
                </c:pt>
              </c:numCache>
            </c:numRef>
          </c:val>
          <c:smooth val="0"/>
        </c:ser>
        <c:marker val="1"/>
        <c:axId val="10610493"/>
        <c:axId val="28385574"/>
      </c:lineChart>
      <c:catAx>
        <c:axId val="1061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DISTRICTS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8385574"/>
        <c:crosses val="autoZero"/>
        <c:auto val="1"/>
        <c:lblOffset val="100"/>
        <c:noMultiLvlLbl val="0"/>
      </c:catAx>
      <c:valAx>
        <c:axId val="28385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(in lakhs)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1061049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5025"/>
          <c:y val="0.1455"/>
          <c:w val="0.26225"/>
          <c:h val="0.06675"/>
        </c:manualLayout>
      </c:layout>
      <c:overlay val="0"/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 Graphical Statement of Total Revenue Collection from 2001-02 to 2009-10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0525"/>
          <c:w val="0.875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Revenue Collection from 2001-02 to 2009-10</c:v>
          </c:tx>
          <c:spPr>
            <a:gradFill rotWithShape="1">
              <a:gsLst>
                <a:gs pos="0">
                  <a:srgbClr val="99CC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'Last 9 yrs Coll.'!$C$3:$K$3</c:f>
              <c:strCache>
                <c:ptCount val="9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</c:strCache>
            </c:strRef>
          </c:cat>
          <c:val>
            <c:numRef>
              <c:f>'Last 9 yrs Coll.'!$C$30:$K$30</c:f>
              <c:numCache>
                <c:ptCount val="9"/>
                <c:pt idx="0">
                  <c:v>17169.46</c:v>
                </c:pt>
                <c:pt idx="1">
                  <c:v>18068.68</c:v>
                </c:pt>
                <c:pt idx="2">
                  <c:v>28376.180000000004</c:v>
                </c:pt>
                <c:pt idx="3">
                  <c:v>31218.750000000004</c:v>
                </c:pt>
                <c:pt idx="4">
                  <c:v>32318.08</c:v>
                </c:pt>
                <c:pt idx="5">
                  <c:v>34294.83</c:v>
                </c:pt>
                <c:pt idx="6">
                  <c:v>39249.79</c:v>
                </c:pt>
                <c:pt idx="7">
                  <c:v>43349.89</c:v>
                </c:pt>
                <c:pt idx="8">
                  <c:v>44939.37</c:v>
                </c:pt>
              </c:numCache>
            </c:numRef>
          </c:val>
        </c:ser>
        <c:axId val="54143575"/>
        <c:axId val="17530128"/>
      </c:barChart>
      <c:catAx>
        <c:axId val="54143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0128"/>
        <c:crosses val="autoZero"/>
        <c:auto val="1"/>
        <c:lblOffset val="100"/>
        <c:noMultiLvlLbl val="0"/>
      </c:catAx>
      <c:valAx>
        <c:axId val="17530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(in lakhs)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14357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75"/>
          <c:y val="0.14025"/>
          <c:w val="0.376"/>
          <c:h val="0.058"/>
        </c:manualLayout>
      </c:layout>
      <c:overlay val="0"/>
      <c:spPr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</c:spPr>
    </c:legend>
    <c:plotVisOnly val="1"/>
    <c:dispBlanksAs val="gap"/>
    <c:showDLblsOverMax val="0"/>
  </c:chart>
  <c:spPr>
    <a:gradFill rotWithShape="1">
      <a:gsLst>
        <a:gs pos="0">
          <a:srgbClr val="D6B19C"/>
        </a:gs>
        <a:gs pos="30000">
          <a:srgbClr val="D49E6C"/>
        </a:gs>
        <a:gs pos="70000">
          <a:srgbClr val="A65528"/>
        </a:gs>
        <a:gs pos="100000">
          <a:srgbClr val="663012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CB%20Mar%2010%20Finalis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Copy%20of%20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hart1"/>
      <sheetName val="Chart2"/>
      <sheetName val="Sheet4"/>
      <sheetName val="Sheet5"/>
      <sheetName val="Sheet6"/>
      <sheetName val="Taluk DCB"/>
      <sheetName val="RR Office"/>
      <sheetName val="Lease"/>
    </sheetNames>
    <sheetDataSet>
      <sheetData sheetId="0">
        <row r="661">
          <cell r="O661">
            <v>1333.67</v>
          </cell>
        </row>
        <row r="662">
          <cell r="O662">
            <v>1042.8599999999997</v>
          </cell>
        </row>
        <row r="663">
          <cell r="O663">
            <v>965.8100000000001</v>
          </cell>
        </row>
        <row r="664">
          <cell r="O664">
            <v>529.2099999999999</v>
          </cell>
        </row>
        <row r="665">
          <cell r="O665">
            <v>878.83</v>
          </cell>
        </row>
        <row r="666">
          <cell r="O666">
            <v>492.95000000000005</v>
          </cell>
        </row>
        <row r="667">
          <cell r="O667">
            <v>2962.67</v>
          </cell>
        </row>
        <row r="668">
          <cell r="O668">
            <v>1962.5400000000002</v>
          </cell>
        </row>
        <row r="669">
          <cell r="O669">
            <v>907.3200000000002</v>
          </cell>
        </row>
        <row r="670">
          <cell r="O670">
            <v>2199.8700000000003</v>
          </cell>
        </row>
        <row r="671">
          <cell r="O671">
            <v>1104.82</v>
          </cell>
        </row>
        <row r="672">
          <cell r="O672">
            <v>344.92999999999995</v>
          </cell>
        </row>
        <row r="673">
          <cell r="O673">
            <v>1082.2099999999998</v>
          </cell>
        </row>
        <row r="674">
          <cell r="O674">
            <v>568.3100000000001</v>
          </cell>
        </row>
        <row r="1006">
          <cell r="O1006">
            <v>4014.66</v>
          </cell>
        </row>
        <row r="1007">
          <cell r="O1007">
            <v>3199.79</v>
          </cell>
        </row>
        <row r="1008">
          <cell r="O1008">
            <v>1305.26</v>
          </cell>
        </row>
        <row r="1009">
          <cell r="O1009">
            <v>1688.32</v>
          </cell>
        </row>
        <row r="1010">
          <cell r="O1010">
            <v>2424.3399999999997</v>
          </cell>
        </row>
        <row r="1011">
          <cell r="O1011">
            <v>755.3799999999999</v>
          </cell>
        </row>
        <row r="1012">
          <cell r="O1012">
            <v>5284.38</v>
          </cell>
        </row>
        <row r="1013">
          <cell r="O1013">
            <v>3867.0600000000004</v>
          </cell>
        </row>
        <row r="1014">
          <cell r="O1014">
            <v>1396.15</v>
          </cell>
        </row>
        <row r="1015">
          <cell r="O1015">
            <v>594.05</v>
          </cell>
        </row>
        <row r="1016">
          <cell r="O1016">
            <v>2039.32</v>
          </cell>
        </row>
        <row r="1017">
          <cell r="O1017">
            <v>394.12</v>
          </cell>
        </row>
        <row r="1018">
          <cell r="O1018">
            <v>1169.4699999999998</v>
          </cell>
        </row>
        <row r="1019">
          <cell r="O1019">
            <v>431.07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Last 9 Yrs Coll"/>
      <sheetName val="DC Rank RR"/>
      <sheetName val="DC Rank LR"/>
      <sheetName val="Taluk RR Rank"/>
      <sheetName val="Taluk LR Rank"/>
      <sheetName val="RR OfficeRank"/>
    </sheetNames>
    <sheetDataSet>
      <sheetData sheetId="8">
        <row r="7">
          <cell r="E7">
            <v>5.1504405520062235</v>
          </cell>
          <cell r="I7">
            <v>44.46019661036726</v>
          </cell>
          <cell r="N7">
            <v>2.771555542750941</v>
          </cell>
        </row>
        <row r="8">
          <cell r="E8">
            <v>7.140387992422672</v>
          </cell>
          <cell r="I8">
            <v>35.15555858125128</v>
          </cell>
          <cell r="N8">
            <v>17.319581318479514</v>
          </cell>
        </row>
        <row r="9">
          <cell r="E9">
            <v>9.65297140670275</v>
          </cell>
          <cell r="I9">
            <v>26.22345165602258</v>
          </cell>
          <cell r="N9">
            <v>4.800650935720094</v>
          </cell>
        </row>
        <row r="10">
          <cell r="E10">
            <v>6.64887848273526</v>
          </cell>
          <cell r="I10">
            <v>37.62990616486732</v>
          </cell>
          <cell r="N10">
            <v>23.5024949338679</v>
          </cell>
        </row>
        <row r="11">
          <cell r="E11">
            <v>1.307736146855892</v>
          </cell>
          <cell r="I11">
            <v>27.14522408514758</v>
          </cell>
          <cell r="N11">
            <v>12.976773554960145</v>
          </cell>
        </row>
        <row r="12">
          <cell r="E12">
            <v>21.516028680274825</v>
          </cell>
          <cell r="I12">
            <v>61.84578601315004</v>
          </cell>
          <cell r="N12">
            <v>15.888366952196739</v>
          </cell>
        </row>
        <row r="13">
          <cell r="E13">
            <v>1.073044732560675</v>
          </cell>
          <cell r="I13">
            <v>31.63120006328617</v>
          </cell>
          <cell r="N13">
            <v>-18.475375995281627</v>
          </cell>
        </row>
        <row r="14">
          <cell r="E14">
            <v>13.178652554853848</v>
          </cell>
          <cell r="I14">
            <v>30.436411852876745</v>
          </cell>
          <cell r="N14">
            <v>18.909899888765295</v>
          </cell>
        </row>
        <row r="15">
          <cell r="E15">
            <v>24.402819296272934</v>
          </cell>
          <cell r="I15">
            <v>58.98183746519952</v>
          </cell>
          <cell r="N15">
            <v>45.580110497237584</v>
          </cell>
        </row>
        <row r="16">
          <cell r="E16">
            <v>11.843603512994129</v>
          </cell>
          <cell r="I16">
            <v>124.57306936678253</v>
          </cell>
          <cell r="N16">
            <v>13.929820841725856</v>
          </cell>
        </row>
        <row r="17">
          <cell r="E17">
            <v>10.181932183484777</v>
          </cell>
          <cell r="I17">
            <v>79.03051371185788</v>
          </cell>
          <cell r="N17">
            <v>67.84757567639969</v>
          </cell>
        </row>
        <row r="18">
          <cell r="E18">
            <v>4.195802297552607</v>
          </cell>
          <cell r="I18">
            <v>61.682429466459155</v>
          </cell>
          <cell r="N18">
            <v>42.58161163472941</v>
          </cell>
        </row>
        <row r="19">
          <cell r="E19">
            <v>73.67932041412264</v>
          </cell>
          <cell r="I19">
            <v>233.7509211495947</v>
          </cell>
          <cell r="N19">
            <v>-14.186851211072668</v>
          </cell>
        </row>
        <row r="20">
          <cell r="E20">
            <v>12.33055324505991</v>
          </cell>
          <cell r="I20">
            <v>86.28283781658008</v>
          </cell>
          <cell r="N20">
            <v>0.6555534744334172</v>
          </cell>
        </row>
        <row r="21">
          <cell r="E21">
            <v>11.01879163031587</v>
          </cell>
          <cell r="I21">
            <v>40.182809817190176</v>
          </cell>
          <cell r="N21">
            <v>31.443735097300205</v>
          </cell>
        </row>
        <row r="22">
          <cell r="E22">
            <v>21.718163276976156</v>
          </cell>
          <cell r="I22">
            <v>83.09509918319719</v>
          </cell>
          <cell r="N22">
            <v>43.361188486536676</v>
          </cell>
        </row>
        <row r="23">
          <cell r="E23">
            <v>23.051312679492717</v>
          </cell>
          <cell r="I23">
            <v>79.24165647387734</v>
          </cell>
          <cell r="N23">
            <v>38.47717111502505</v>
          </cell>
        </row>
        <row r="24">
          <cell r="E24">
            <v>9.51889111528848</v>
          </cell>
          <cell r="I24">
            <v>28.855908322374603</v>
          </cell>
          <cell r="N24">
            <v>69.70016891891892</v>
          </cell>
        </row>
        <row r="25">
          <cell r="E25">
            <v>4.387319970029694</v>
          </cell>
          <cell r="I25">
            <v>23.72686343171586</v>
          </cell>
          <cell r="N25">
            <v>18.379035057271775</v>
          </cell>
        </row>
        <row r="26">
          <cell r="E26">
            <v>3.462042625110622</v>
          </cell>
          <cell r="I26">
            <v>24.81696119815888</v>
          </cell>
          <cell r="N26">
            <v>29.120951317259042</v>
          </cell>
        </row>
        <row r="27">
          <cell r="E27">
            <v>8.959557612633697</v>
          </cell>
          <cell r="I27">
            <v>53.37705256635341</v>
          </cell>
          <cell r="N27">
            <v>-34.94673741342297</v>
          </cell>
        </row>
        <row r="28">
          <cell r="E28">
            <v>27.17290594752302</v>
          </cell>
          <cell r="I28">
            <v>73.26459019878814</v>
          </cell>
          <cell r="N28">
            <v>7.957495622773656</v>
          </cell>
        </row>
        <row r="29">
          <cell r="E29">
            <v>8.80621323910266</v>
          </cell>
          <cell r="I29">
            <v>46.74283270455621</v>
          </cell>
          <cell r="N29">
            <v>-5.758217619832124</v>
          </cell>
        </row>
        <row r="30">
          <cell r="E30">
            <v>6.099196118942705</v>
          </cell>
          <cell r="I30">
            <v>52.066803673161466</v>
          </cell>
          <cell r="N30">
            <v>6.396949096335587</v>
          </cell>
        </row>
        <row r="31">
          <cell r="E31">
            <v>15.681408749806128</v>
          </cell>
          <cell r="I31">
            <v>60.152853416319616</v>
          </cell>
          <cell r="N31">
            <v>-6.733524355300857</v>
          </cell>
        </row>
        <row r="32">
          <cell r="E32">
            <v>9.94268930439143</v>
          </cell>
          <cell r="I32">
            <v>62.0540105517303</v>
          </cell>
          <cell r="N32">
            <v>11.356119073869893</v>
          </cell>
        </row>
        <row r="33">
          <cell r="E33">
            <v>26.588053353953217</v>
          </cell>
          <cell r="I33">
            <v>81.61642535010681</v>
          </cell>
          <cell r="N33">
            <v>313.3299798792757</v>
          </cell>
        </row>
        <row r="34">
          <cell r="E34">
            <v>28.834123774331516</v>
          </cell>
          <cell r="I34">
            <v>155.37786139855754</v>
          </cell>
          <cell r="N34">
            <v>-12.487773068144772</v>
          </cell>
        </row>
        <row r="35">
          <cell r="E35">
            <v>3.0575749276686675</v>
          </cell>
          <cell r="I35">
            <v>77.66375094703493</v>
          </cell>
          <cell r="N35">
            <v>5.2898788077301075</v>
          </cell>
        </row>
        <row r="36">
          <cell r="E36">
            <v>17.865013321053844</v>
          </cell>
          <cell r="I36">
            <v>53.899970229234896</v>
          </cell>
          <cell r="N36">
            <v>-19.49512249609055</v>
          </cell>
        </row>
        <row r="37">
          <cell r="E37">
            <v>5.526790923750499</v>
          </cell>
          <cell r="I37">
            <v>29.293593396157497</v>
          </cell>
          <cell r="N37">
            <v>-61.150604461093124</v>
          </cell>
        </row>
        <row r="38">
          <cell r="E38">
            <v>4.061622979623314</v>
          </cell>
          <cell r="I38">
            <v>54.362862463421045</v>
          </cell>
          <cell r="N38">
            <v>-47.552252435064936</v>
          </cell>
        </row>
        <row r="39">
          <cell r="E39">
            <v>3.3527067809539353</v>
          </cell>
          <cell r="I39">
            <v>42.78636793941299</v>
          </cell>
          <cell r="N39">
            <v>-50.94522845648417</v>
          </cell>
        </row>
        <row r="40">
          <cell r="E40">
            <v>3.0259902866773247</v>
          </cell>
          <cell r="I40">
            <v>21.125187416013862</v>
          </cell>
          <cell r="N40">
            <v>-17.519781488469018</v>
          </cell>
        </row>
        <row r="41">
          <cell r="E41">
            <v>8.046414369943781</v>
          </cell>
          <cell r="I41">
            <v>30.04370948233382</v>
          </cell>
          <cell r="N41">
            <v>-13.388017118402281</v>
          </cell>
        </row>
        <row r="42">
          <cell r="E42">
            <v>8.803454813566464</v>
          </cell>
          <cell r="I42">
            <v>50.45476497102383</v>
          </cell>
          <cell r="N42">
            <v>-48.61205949588813</v>
          </cell>
        </row>
        <row r="43">
          <cell r="E43">
            <v>4.322482967448902</v>
          </cell>
          <cell r="I43">
            <v>66.19906092400441</v>
          </cell>
          <cell r="N43">
            <v>-31.462697053528295</v>
          </cell>
        </row>
        <row r="44">
          <cell r="E44">
            <v>13.353479420603035</v>
          </cell>
          <cell r="I44">
            <v>38.073279679618004</v>
          </cell>
          <cell r="N44">
            <v>158.7611964171465</v>
          </cell>
        </row>
        <row r="45">
          <cell r="E45">
            <v>7.813286295257776</v>
          </cell>
          <cell r="I45">
            <v>39.79846844580963</v>
          </cell>
          <cell r="N45">
            <v>4.215210906299484</v>
          </cell>
        </row>
        <row r="46">
          <cell r="E46">
            <v>18.453571154719565</v>
          </cell>
          <cell r="I46">
            <v>147.53371687258323</v>
          </cell>
          <cell r="N46">
            <v>-35.83355656755067</v>
          </cell>
        </row>
        <row r="47">
          <cell r="E47">
            <v>11.313367220772083</v>
          </cell>
          <cell r="I47">
            <v>19.115321562767484</v>
          </cell>
          <cell r="N47">
            <v>977.6552930883641</v>
          </cell>
        </row>
        <row r="48">
          <cell r="E48">
            <v>5.050670013150996</v>
          </cell>
          <cell r="I48">
            <v>36.47348492685854</v>
          </cell>
          <cell r="N48">
            <v>30.054689748756108</v>
          </cell>
        </row>
        <row r="49">
          <cell r="E49">
            <v>9.085123181283535</v>
          </cell>
          <cell r="I49">
            <v>50.646725949878736</v>
          </cell>
          <cell r="N49">
            <v>54.44213855124025</v>
          </cell>
        </row>
        <row r="50">
          <cell r="E50">
            <v>0.5128447424333474</v>
          </cell>
          <cell r="I50">
            <v>29.04617751835543</v>
          </cell>
          <cell r="N50">
            <v>53.72699186284321</v>
          </cell>
        </row>
        <row r="51">
          <cell r="E51">
            <v>18.7493264189579</v>
          </cell>
          <cell r="I51">
            <v>77.59412304866851</v>
          </cell>
          <cell r="N51">
            <v>64.22028723283952</v>
          </cell>
        </row>
        <row r="52">
          <cell r="E52">
            <v>30.764322374809268</v>
          </cell>
          <cell r="I52">
            <v>102.95237211029618</v>
          </cell>
          <cell r="N52">
            <v>24.127853881278526</v>
          </cell>
        </row>
        <row r="53">
          <cell r="E53">
            <v>32.17716711349419</v>
          </cell>
          <cell r="I53">
            <v>285.76388888888886</v>
          </cell>
          <cell r="N53">
            <v>17.959682345754413</v>
          </cell>
        </row>
        <row r="54">
          <cell r="E54">
            <v>56.870863145483284</v>
          </cell>
          <cell r="I54">
            <v>521.3092606239253</v>
          </cell>
          <cell r="N54">
            <v>49.414210128495824</v>
          </cell>
        </row>
        <row r="55">
          <cell r="E55">
            <v>30.57913522226525</v>
          </cell>
          <cell r="I55">
            <v>357.89538159990195</v>
          </cell>
          <cell r="N55">
            <v>4.043302465110205</v>
          </cell>
        </row>
        <row r="56">
          <cell r="E56">
            <v>83.35447625951433</v>
          </cell>
          <cell r="I56">
            <v>345.0919094660496</v>
          </cell>
          <cell r="N56">
            <v>4.592513936819742</v>
          </cell>
        </row>
        <row r="57">
          <cell r="E57">
            <v>103.76909968352166</v>
          </cell>
          <cell r="I57">
            <v>816.3925191527716</v>
          </cell>
          <cell r="N57">
            <v>-13.249949155989423</v>
          </cell>
        </row>
        <row r="58">
          <cell r="E58">
            <v>36.04516543986279</v>
          </cell>
          <cell r="I58">
            <v>322.2463582928699</v>
          </cell>
          <cell r="N58">
            <v>-51.62796648116165</v>
          </cell>
        </row>
        <row r="59">
          <cell r="E59">
            <v>13.751365966315554</v>
          </cell>
          <cell r="I59">
            <v>40.77253505601614</v>
          </cell>
          <cell r="N59">
            <v>32.26833623787086</v>
          </cell>
        </row>
        <row r="60">
          <cell r="E60">
            <v>42.93483837865571</v>
          </cell>
          <cell r="I60">
            <v>89.16039210115073</v>
          </cell>
          <cell r="N60">
            <v>1.278973329259246</v>
          </cell>
        </row>
        <row r="61">
          <cell r="E61">
            <v>76.64651807077195</v>
          </cell>
          <cell r="I61">
            <v>213.44906189724705</v>
          </cell>
          <cell r="N61">
            <v>34.36394400861404</v>
          </cell>
        </row>
        <row r="62">
          <cell r="E62">
            <v>8.996986051727763</v>
          </cell>
          <cell r="I62">
            <v>163.26634444161817</v>
          </cell>
          <cell r="N62">
            <v>-7.3221485238652555</v>
          </cell>
        </row>
        <row r="63">
          <cell r="E63">
            <v>5.5081855388813095</v>
          </cell>
          <cell r="I63">
            <v>147.758462946021</v>
          </cell>
          <cell r="N63">
            <v>-4.530465949820783</v>
          </cell>
        </row>
        <row r="64">
          <cell r="E64">
            <v>14.495595299785718</v>
          </cell>
          <cell r="I64">
            <v>149.73958333333357</v>
          </cell>
          <cell r="N64">
            <v>89.76152623211448</v>
          </cell>
        </row>
        <row r="65">
          <cell r="E65">
            <v>17.76669171467535</v>
          </cell>
          <cell r="I65">
            <v>68.78114478114477</v>
          </cell>
          <cell r="N65">
            <v>-39.86177565124933</v>
          </cell>
        </row>
        <row r="66">
          <cell r="E66">
            <v>10.173681837264628</v>
          </cell>
          <cell r="I66">
            <v>50.831261653200755</v>
          </cell>
          <cell r="N66">
            <v>166.77556354132633</v>
          </cell>
        </row>
        <row r="67">
          <cell r="E67">
            <v>19.09273397215654</v>
          </cell>
          <cell r="I67">
            <v>129.45082358120254</v>
          </cell>
          <cell r="N67">
            <v>-21.151885830784913</v>
          </cell>
        </row>
        <row r="68">
          <cell r="E68">
            <v>13.50730101327147</v>
          </cell>
          <cell r="I68">
            <v>79.67849865412191</v>
          </cell>
          <cell r="N68">
            <v>43.972350230414754</v>
          </cell>
        </row>
        <row r="69">
          <cell r="E69">
            <v>27.936261173727168</v>
          </cell>
          <cell r="I69">
            <v>88.20868833491113</v>
          </cell>
          <cell r="N69">
            <v>89.01614935288053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5"/>
  <sheetViews>
    <sheetView view="pageBreakPreview" zoomScaleSheetLayoutView="100" workbookViewId="0" topLeftCell="E1">
      <selection activeCell="A228" sqref="A228:Q228"/>
    </sheetView>
  </sheetViews>
  <sheetFormatPr defaultColWidth="9.140625" defaultRowHeight="12.75"/>
  <cols>
    <col min="2" max="2" width="10.421875" style="0" customWidth="1"/>
    <col min="3" max="3" width="9.57421875" style="0" customWidth="1"/>
    <col min="4" max="4" width="10.7109375" style="0" customWidth="1"/>
    <col min="5" max="6" width="9.28125" style="0" customWidth="1"/>
    <col min="7" max="7" width="9.57421875" style="0" customWidth="1"/>
    <col min="8" max="8" width="10.57421875" style="0" customWidth="1"/>
    <col min="9" max="9" width="9.57421875" style="0" customWidth="1"/>
    <col min="10" max="10" width="9.28125" style="0" customWidth="1"/>
    <col min="11" max="11" width="11.00390625" style="0" customWidth="1"/>
    <col min="12" max="12" width="9.57421875" style="0" customWidth="1"/>
    <col min="13" max="13" width="9.8515625" style="0" customWidth="1"/>
    <col min="14" max="14" width="8.421875" style="0" customWidth="1"/>
    <col min="15" max="15" width="9.421875" style="0" customWidth="1"/>
    <col min="16" max="16" width="9.57421875" style="0" customWidth="1"/>
    <col min="17" max="17" width="7.57421875" style="0" customWidth="1"/>
  </cols>
  <sheetData>
    <row r="1" spans="1:17" ht="18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8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5.75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8" ht="15.75">
      <c r="A4" s="168" t="s">
        <v>3</v>
      </c>
      <c r="B4" s="153" t="s">
        <v>4</v>
      </c>
      <c r="C4" s="153" t="s">
        <v>5</v>
      </c>
      <c r="D4" s="153" t="s">
        <v>6</v>
      </c>
      <c r="E4" s="174" t="s">
        <v>7</v>
      </c>
      <c r="F4" s="174"/>
      <c r="G4" s="174"/>
      <c r="H4" s="171" t="s">
        <v>8</v>
      </c>
      <c r="I4" s="172" t="s">
        <v>9</v>
      </c>
      <c r="J4" s="172" t="s">
        <v>10</v>
      </c>
      <c r="K4" s="150" t="s">
        <v>11</v>
      </c>
      <c r="L4" s="146" t="s">
        <v>12</v>
      </c>
      <c r="M4" s="168" t="s">
        <v>13</v>
      </c>
      <c r="N4" s="168" t="s">
        <v>14</v>
      </c>
      <c r="O4" s="172" t="s">
        <v>15</v>
      </c>
      <c r="P4" s="168" t="s">
        <v>16</v>
      </c>
      <c r="Q4" s="168" t="s">
        <v>17</v>
      </c>
      <c r="R4" s="148" t="s">
        <v>82</v>
      </c>
    </row>
    <row r="5" spans="1:18" ht="69.75" customHeight="1">
      <c r="A5" s="168"/>
      <c r="B5" s="155"/>
      <c r="C5" s="156"/>
      <c r="D5" s="154"/>
      <c r="E5" s="2" t="s">
        <v>18</v>
      </c>
      <c r="F5" s="1" t="s">
        <v>19</v>
      </c>
      <c r="G5" s="1" t="s">
        <v>20</v>
      </c>
      <c r="H5" s="173"/>
      <c r="I5" s="172"/>
      <c r="J5" s="175"/>
      <c r="K5" s="151"/>
      <c r="L5" s="146"/>
      <c r="M5" s="168"/>
      <c r="N5" s="168"/>
      <c r="O5" s="172"/>
      <c r="P5" s="168"/>
      <c r="Q5" s="168"/>
      <c r="R5" s="149"/>
    </row>
    <row r="6" spans="1:18" ht="14.25">
      <c r="A6" s="3" t="s">
        <v>21</v>
      </c>
      <c r="B6" s="4">
        <v>3907.02</v>
      </c>
      <c r="C6" s="4">
        <v>287.87</v>
      </c>
      <c r="D6" s="4">
        <v>4194.89</v>
      </c>
      <c r="E6" s="4">
        <v>1403.28</v>
      </c>
      <c r="F6" s="4">
        <v>683.09</v>
      </c>
      <c r="G6" s="4">
        <v>61.18</v>
      </c>
      <c r="H6" s="4">
        <v>2147.55</v>
      </c>
      <c r="I6" s="5">
        <v>0.18</v>
      </c>
      <c r="J6" s="5">
        <v>304.5</v>
      </c>
      <c r="K6" s="4">
        <v>2452.23</v>
      </c>
      <c r="L6" s="5">
        <v>1742.66</v>
      </c>
      <c r="M6" s="4">
        <v>958.53</v>
      </c>
      <c r="N6" s="4">
        <v>375.14</v>
      </c>
      <c r="O6" s="5">
        <v>1333.67</v>
      </c>
      <c r="P6" s="4">
        <v>408.9899999999993</v>
      </c>
      <c r="Q6" s="4">
        <v>76.53070593231041</v>
      </c>
      <c r="R6" s="38"/>
    </row>
    <row r="7" spans="1:18" ht="14.25">
      <c r="A7" s="3" t="s">
        <v>22</v>
      </c>
      <c r="B7" s="4">
        <v>1158.61</v>
      </c>
      <c r="C7" s="4">
        <v>141.19</v>
      </c>
      <c r="D7" s="4">
        <v>1299.8</v>
      </c>
      <c r="E7" s="4">
        <v>70.54</v>
      </c>
      <c r="F7" s="4">
        <v>51.55</v>
      </c>
      <c r="G7" s="4">
        <v>64.13</v>
      </c>
      <c r="H7" s="4">
        <v>186.22</v>
      </c>
      <c r="I7" s="5">
        <v>3.33</v>
      </c>
      <c r="J7" s="5">
        <v>11.99</v>
      </c>
      <c r="K7" s="4">
        <v>201.54</v>
      </c>
      <c r="L7" s="5">
        <v>1098.26</v>
      </c>
      <c r="M7" s="4">
        <v>873.94</v>
      </c>
      <c r="N7" s="4">
        <v>168.92</v>
      </c>
      <c r="O7" s="5">
        <v>1042.86</v>
      </c>
      <c r="P7" s="4">
        <v>55.40000000000009</v>
      </c>
      <c r="Q7" s="4">
        <v>94.95565713036986</v>
      </c>
      <c r="R7" s="38"/>
    </row>
    <row r="8" spans="1:18" ht="14.25">
      <c r="A8" s="3" t="s">
        <v>23</v>
      </c>
      <c r="B8" s="4">
        <v>1024.68</v>
      </c>
      <c r="C8" s="4">
        <v>197.85</v>
      </c>
      <c r="D8" s="4">
        <v>1222.53</v>
      </c>
      <c r="E8" s="4">
        <v>27.4</v>
      </c>
      <c r="F8" s="4">
        <v>9.85</v>
      </c>
      <c r="G8" s="4">
        <v>33.53</v>
      </c>
      <c r="H8" s="4">
        <v>70.78</v>
      </c>
      <c r="I8" s="5">
        <v>23.82</v>
      </c>
      <c r="J8" s="5">
        <v>154.08</v>
      </c>
      <c r="K8" s="4">
        <v>248.68</v>
      </c>
      <c r="L8" s="5">
        <v>973.85</v>
      </c>
      <c r="M8" s="4">
        <v>756.62</v>
      </c>
      <c r="N8" s="4">
        <v>209.19</v>
      </c>
      <c r="O8" s="5">
        <v>965.81</v>
      </c>
      <c r="P8" s="4">
        <v>8.03999999999985</v>
      </c>
      <c r="Q8" s="4">
        <v>99.17441084355907</v>
      </c>
      <c r="R8" s="38"/>
    </row>
    <row r="9" spans="1:18" ht="14.25">
      <c r="A9" s="3" t="s">
        <v>24</v>
      </c>
      <c r="B9" s="4">
        <v>684.19</v>
      </c>
      <c r="C9" s="4">
        <v>80.26</v>
      </c>
      <c r="D9" s="4">
        <v>764.45</v>
      </c>
      <c r="E9" s="4">
        <v>75.35</v>
      </c>
      <c r="F9" s="4">
        <v>17.83</v>
      </c>
      <c r="G9" s="4">
        <v>13.01</v>
      </c>
      <c r="H9" s="4">
        <v>106.19</v>
      </c>
      <c r="I9" s="5">
        <v>10</v>
      </c>
      <c r="J9" s="5">
        <v>38.87</v>
      </c>
      <c r="K9" s="4">
        <v>155.06</v>
      </c>
      <c r="L9" s="5">
        <v>609.39</v>
      </c>
      <c r="M9" s="4">
        <v>430.12</v>
      </c>
      <c r="N9" s="4">
        <v>99.09</v>
      </c>
      <c r="O9" s="5">
        <v>529.21</v>
      </c>
      <c r="P9" s="4">
        <v>80.17999999999995</v>
      </c>
      <c r="Q9" s="4">
        <v>86.84258028520324</v>
      </c>
      <c r="R9" s="38"/>
    </row>
    <row r="10" spans="1:18" ht="14.25">
      <c r="A10" s="3" t="s">
        <v>25</v>
      </c>
      <c r="B10" s="4">
        <v>951.03</v>
      </c>
      <c r="C10" s="4">
        <v>221.68</v>
      </c>
      <c r="D10" s="4">
        <v>1172.71</v>
      </c>
      <c r="E10" s="4">
        <v>105.21</v>
      </c>
      <c r="F10" s="4">
        <v>71.71</v>
      </c>
      <c r="G10" s="4">
        <v>23.14</v>
      </c>
      <c r="H10" s="4">
        <v>200.06</v>
      </c>
      <c r="I10" s="5">
        <v>6.05</v>
      </c>
      <c r="J10" s="5">
        <v>83.63</v>
      </c>
      <c r="K10" s="4">
        <v>289.74</v>
      </c>
      <c r="L10" s="5">
        <v>882.97</v>
      </c>
      <c r="M10" s="4">
        <v>631.82</v>
      </c>
      <c r="N10" s="4">
        <v>247.01</v>
      </c>
      <c r="O10" s="5">
        <v>878.83</v>
      </c>
      <c r="P10" s="4">
        <v>4.139999999999759</v>
      </c>
      <c r="Q10" s="4">
        <v>99.5311278978901</v>
      </c>
      <c r="R10" s="38"/>
    </row>
    <row r="11" spans="1:18" ht="14.25">
      <c r="A11" s="3" t="s">
        <v>26</v>
      </c>
      <c r="B11" s="4">
        <v>918.64</v>
      </c>
      <c r="C11" s="4">
        <v>39.92</v>
      </c>
      <c r="D11" s="4">
        <v>958.56</v>
      </c>
      <c r="E11" s="4">
        <v>56.69</v>
      </c>
      <c r="F11" s="4">
        <v>78.85</v>
      </c>
      <c r="G11" s="4">
        <v>33.91</v>
      </c>
      <c r="H11" s="4">
        <v>169.45</v>
      </c>
      <c r="I11" s="5">
        <v>2.44</v>
      </c>
      <c r="J11" s="5">
        <v>13.09</v>
      </c>
      <c r="K11" s="4">
        <v>184.98</v>
      </c>
      <c r="L11" s="5">
        <v>773.58</v>
      </c>
      <c r="M11" s="4">
        <v>378.58</v>
      </c>
      <c r="N11" s="4">
        <v>114.37</v>
      </c>
      <c r="O11" s="5">
        <v>492.95</v>
      </c>
      <c r="P11" s="4">
        <v>280.63</v>
      </c>
      <c r="Q11" s="4">
        <v>63.723208976447175</v>
      </c>
      <c r="R11" s="38"/>
    </row>
    <row r="12" spans="1:18" ht="14.25">
      <c r="A12" s="3" t="s">
        <v>27</v>
      </c>
      <c r="B12" s="4">
        <v>5008.43</v>
      </c>
      <c r="C12" s="4">
        <v>928.04</v>
      </c>
      <c r="D12" s="4">
        <v>5936.47</v>
      </c>
      <c r="E12" s="4">
        <v>2012.78</v>
      </c>
      <c r="F12" s="4">
        <v>131.83</v>
      </c>
      <c r="G12" s="4">
        <v>190.44</v>
      </c>
      <c r="H12" s="4">
        <v>2335.05</v>
      </c>
      <c r="I12" s="5">
        <v>0.14</v>
      </c>
      <c r="J12" s="5">
        <v>32.18</v>
      </c>
      <c r="K12" s="4">
        <v>2367.37</v>
      </c>
      <c r="L12" s="5">
        <v>3569.1</v>
      </c>
      <c r="M12" s="4">
        <v>1998.93</v>
      </c>
      <c r="N12" s="4">
        <v>963.74</v>
      </c>
      <c r="O12" s="5">
        <v>2962.67</v>
      </c>
      <c r="P12" s="4">
        <v>606.4299999999994</v>
      </c>
      <c r="Q12" s="4">
        <v>83.0088817909277</v>
      </c>
      <c r="R12" s="38"/>
    </row>
    <row r="13" spans="1:18" ht="14.25">
      <c r="A13" s="3" t="s">
        <v>28</v>
      </c>
      <c r="B13" s="4">
        <v>4158.71</v>
      </c>
      <c r="C13" s="4">
        <v>478.47</v>
      </c>
      <c r="D13" s="4">
        <v>4637.18</v>
      </c>
      <c r="E13" s="4">
        <v>2048.15</v>
      </c>
      <c r="F13" s="4">
        <v>518.6</v>
      </c>
      <c r="G13" s="4">
        <v>67.61</v>
      </c>
      <c r="H13" s="4">
        <v>2634.36</v>
      </c>
      <c r="I13" s="5">
        <v>5.97</v>
      </c>
      <c r="J13" s="5">
        <v>16.44</v>
      </c>
      <c r="K13" s="4">
        <v>2656.77</v>
      </c>
      <c r="L13" s="5">
        <v>1980.41</v>
      </c>
      <c r="M13" s="4">
        <v>1474.7</v>
      </c>
      <c r="N13" s="4">
        <v>487.84</v>
      </c>
      <c r="O13" s="5">
        <v>1962.54</v>
      </c>
      <c r="P13" s="4">
        <v>17.87000000000012</v>
      </c>
      <c r="Q13" s="4">
        <v>99.09766159532622</v>
      </c>
      <c r="R13" s="38"/>
    </row>
    <row r="14" spans="1:18" ht="14.25">
      <c r="A14" s="3" t="s">
        <v>29</v>
      </c>
      <c r="B14" s="4">
        <v>863.78</v>
      </c>
      <c r="C14" s="4">
        <v>136.96</v>
      </c>
      <c r="D14" s="4">
        <v>1000.74</v>
      </c>
      <c r="E14" s="4">
        <v>46.2</v>
      </c>
      <c r="F14" s="4">
        <v>23.72</v>
      </c>
      <c r="G14" s="4">
        <v>5.19</v>
      </c>
      <c r="H14" s="4">
        <v>75.11</v>
      </c>
      <c r="I14" s="5">
        <v>8.72</v>
      </c>
      <c r="J14" s="5">
        <v>23.59</v>
      </c>
      <c r="K14" s="4">
        <v>107.42</v>
      </c>
      <c r="L14" s="5">
        <v>893.32</v>
      </c>
      <c r="M14" s="4">
        <v>727.55</v>
      </c>
      <c r="N14" s="4">
        <v>179.77</v>
      </c>
      <c r="O14" s="5">
        <v>907.32</v>
      </c>
      <c r="P14" s="6">
        <v>-14.000000000000114</v>
      </c>
      <c r="Q14" s="4">
        <v>101.56718756996375</v>
      </c>
      <c r="R14" s="38" t="s">
        <v>83</v>
      </c>
    </row>
    <row r="15" spans="1:18" ht="14.25">
      <c r="A15" s="3" t="s">
        <v>30</v>
      </c>
      <c r="B15" s="4">
        <v>1822.18</v>
      </c>
      <c r="C15" s="4">
        <v>479.24</v>
      </c>
      <c r="D15" s="4">
        <v>2301.42</v>
      </c>
      <c r="E15" s="4">
        <v>62.88</v>
      </c>
      <c r="F15" s="4">
        <v>18.64</v>
      </c>
      <c r="G15" s="4">
        <v>41.19</v>
      </c>
      <c r="H15" s="4">
        <v>122.71</v>
      </c>
      <c r="I15" s="5">
        <v>2.67</v>
      </c>
      <c r="J15" s="5">
        <v>38.98</v>
      </c>
      <c r="K15" s="4">
        <v>164.36</v>
      </c>
      <c r="L15" s="5">
        <v>2137.06</v>
      </c>
      <c r="M15" s="4">
        <v>1698.97</v>
      </c>
      <c r="N15" s="4">
        <v>500.9</v>
      </c>
      <c r="O15" s="5">
        <v>2199.87</v>
      </c>
      <c r="P15" s="6">
        <v>-62.8100000000004</v>
      </c>
      <c r="Q15" s="4">
        <v>102.93908453669998</v>
      </c>
      <c r="R15" s="38" t="s">
        <v>83</v>
      </c>
    </row>
    <row r="16" spans="1:18" ht="14.25">
      <c r="A16" s="3" t="s">
        <v>31</v>
      </c>
      <c r="B16" s="4">
        <v>1319.9229999999998</v>
      </c>
      <c r="C16" s="4">
        <v>214.02</v>
      </c>
      <c r="D16" s="4">
        <v>1533.943</v>
      </c>
      <c r="E16" s="4">
        <v>35.58</v>
      </c>
      <c r="F16" s="4">
        <v>50.93</v>
      </c>
      <c r="G16" s="4">
        <v>277.99</v>
      </c>
      <c r="H16" s="4">
        <v>364.5</v>
      </c>
      <c r="I16" s="5">
        <v>22.36</v>
      </c>
      <c r="J16" s="5">
        <v>34.1</v>
      </c>
      <c r="K16" s="4">
        <v>420.96</v>
      </c>
      <c r="L16" s="5">
        <v>1112.983</v>
      </c>
      <c r="M16" s="4">
        <v>817.53</v>
      </c>
      <c r="N16" s="4">
        <v>287.29</v>
      </c>
      <c r="O16" s="5">
        <v>1104.82</v>
      </c>
      <c r="P16" s="4">
        <v>8.163000000000011</v>
      </c>
      <c r="Q16" s="4">
        <v>99.2665656169052</v>
      </c>
      <c r="R16" s="38"/>
    </row>
    <row r="17" spans="1:18" ht="14.25">
      <c r="A17" s="3" t="s">
        <v>32</v>
      </c>
      <c r="B17" s="4">
        <v>471.28</v>
      </c>
      <c r="C17" s="4">
        <v>60.68</v>
      </c>
      <c r="D17" s="4">
        <v>531.96</v>
      </c>
      <c r="E17" s="4">
        <v>4.11</v>
      </c>
      <c r="F17" s="4">
        <v>59.66</v>
      </c>
      <c r="G17" s="4">
        <v>5.24</v>
      </c>
      <c r="H17" s="4">
        <v>69.01</v>
      </c>
      <c r="I17" s="5">
        <v>0.86</v>
      </c>
      <c r="J17" s="5">
        <v>135.95</v>
      </c>
      <c r="K17" s="4">
        <v>205.82</v>
      </c>
      <c r="L17" s="5">
        <v>326.14</v>
      </c>
      <c r="M17" s="4">
        <v>282.36</v>
      </c>
      <c r="N17" s="4">
        <v>62.57</v>
      </c>
      <c r="O17" s="5">
        <v>344.93</v>
      </c>
      <c r="P17" s="6">
        <v>-18.789999999999907</v>
      </c>
      <c r="Q17" s="4">
        <v>105.76132949040287</v>
      </c>
      <c r="R17" s="38" t="s">
        <v>83</v>
      </c>
    </row>
    <row r="18" spans="1:18" ht="14.25">
      <c r="A18" s="3" t="s">
        <v>33</v>
      </c>
      <c r="B18" s="4">
        <v>947.37</v>
      </c>
      <c r="C18" s="4">
        <v>237.06</v>
      </c>
      <c r="D18" s="4">
        <v>1184.43</v>
      </c>
      <c r="E18" s="4">
        <v>17.86</v>
      </c>
      <c r="F18" s="4">
        <v>17.92</v>
      </c>
      <c r="G18" s="4">
        <v>1.74</v>
      </c>
      <c r="H18" s="4">
        <v>37.52</v>
      </c>
      <c r="I18" s="5">
        <v>13.38</v>
      </c>
      <c r="J18" s="5">
        <v>47.36</v>
      </c>
      <c r="K18" s="4">
        <v>98.26</v>
      </c>
      <c r="L18" s="5">
        <v>1086.17</v>
      </c>
      <c r="M18" s="4">
        <v>798.23</v>
      </c>
      <c r="N18" s="4">
        <v>283.98</v>
      </c>
      <c r="O18" s="5">
        <v>1082.21</v>
      </c>
      <c r="P18" s="4">
        <v>3.9600000000002638</v>
      </c>
      <c r="Q18" s="4">
        <v>99.635416187153</v>
      </c>
      <c r="R18" s="38"/>
    </row>
    <row r="19" spans="1:18" ht="14.25">
      <c r="A19" s="3" t="s">
        <v>34</v>
      </c>
      <c r="B19" s="4">
        <v>756.63</v>
      </c>
      <c r="C19" s="4">
        <v>75.23</v>
      </c>
      <c r="D19" s="4">
        <v>831.86</v>
      </c>
      <c r="E19" s="4">
        <v>9.81</v>
      </c>
      <c r="F19" s="4">
        <v>180.57</v>
      </c>
      <c r="G19" s="4">
        <v>56.4</v>
      </c>
      <c r="H19" s="4">
        <v>246.78</v>
      </c>
      <c r="I19" s="5">
        <v>3.82</v>
      </c>
      <c r="J19" s="5">
        <v>19.34</v>
      </c>
      <c r="K19" s="4">
        <v>269.94</v>
      </c>
      <c r="L19" s="5">
        <v>561.92</v>
      </c>
      <c r="M19" s="4">
        <v>469.29</v>
      </c>
      <c r="N19" s="4">
        <v>99.02</v>
      </c>
      <c r="O19" s="5">
        <v>568.31</v>
      </c>
      <c r="P19" s="6">
        <v>-6.390000000000214</v>
      </c>
      <c r="Q19" s="4">
        <v>101.1371725512529</v>
      </c>
      <c r="R19" s="38" t="s">
        <v>83</v>
      </c>
    </row>
    <row r="20" spans="1:18" ht="15">
      <c r="A20" s="7" t="s">
        <v>35</v>
      </c>
      <c r="B20" s="8">
        <v>23992.472999999994</v>
      </c>
      <c r="C20" s="8">
        <v>3578.47</v>
      </c>
      <c r="D20" s="8">
        <v>27570.943</v>
      </c>
      <c r="E20" s="8">
        <v>5975.84</v>
      </c>
      <c r="F20" s="8">
        <v>1914.75</v>
      </c>
      <c r="G20" s="8">
        <v>874.7</v>
      </c>
      <c r="H20" s="8">
        <v>8765.29</v>
      </c>
      <c r="I20" s="9">
        <v>103.74</v>
      </c>
      <c r="J20" s="9">
        <v>954.1</v>
      </c>
      <c r="K20" s="8">
        <v>9823.13</v>
      </c>
      <c r="L20" s="9">
        <v>17747.813</v>
      </c>
      <c r="M20" s="8">
        <v>12297.17</v>
      </c>
      <c r="N20" s="8">
        <v>4078.83</v>
      </c>
      <c r="O20" s="9">
        <v>16376</v>
      </c>
      <c r="P20" s="8">
        <v>1371.8129999999983</v>
      </c>
      <c r="Q20" s="8">
        <v>92.2705236977649</v>
      </c>
      <c r="R20" s="38"/>
    </row>
    <row r="21" spans="1:17" ht="15">
      <c r="A21" s="10"/>
      <c r="B21" s="11"/>
      <c r="C21" s="11"/>
      <c r="D21" s="11"/>
      <c r="E21" s="11"/>
      <c r="F21" s="11"/>
      <c r="G21" s="11"/>
      <c r="H21" s="11"/>
      <c r="I21" s="12"/>
      <c r="J21" s="12"/>
      <c r="K21" s="11"/>
      <c r="L21" s="12"/>
      <c r="M21" s="11"/>
      <c r="N21" s="11"/>
      <c r="O21" s="12"/>
      <c r="P21" s="11"/>
      <c r="Q21" s="11"/>
    </row>
    <row r="22" spans="1:17" ht="15">
      <c r="A22" s="13"/>
      <c r="B22" s="14"/>
      <c r="C22" s="14"/>
      <c r="D22" s="14"/>
      <c r="E22" s="14"/>
      <c r="F22" s="14"/>
      <c r="G22" s="14"/>
      <c r="H22" s="14"/>
      <c r="I22" s="15"/>
      <c r="J22" s="15"/>
      <c r="K22" s="14"/>
      <c r="L22" s="15"/>
      <c r="M22" s="14"/>
      <c r="N22" s="14"/>
      <c r="O22" s="15"/>
      <c r="P22" s="14"/>
      <c r="Q22" s="14"/>
    </row>
    <row r="23" spans="1:17" ht="15.75">
      <c r="A23" s="13"/>
      <c r="B23" s="16"/>
      <c r="C23" s="16"/>
      <c r="D23" s="16"/>
      <c r="E23" s="16"/>
      <c r="F23" s="16"/>
      <c r="G23" s="16"/>
      <c r="H23" s="16"/>
      <c r="I23" s="17"/>
      <c r="J23" s="17"/>
      <c r="K23" s="16"/>
      <c r="L23" s="17"/>
      <c r="M23" s="16"/>
      <c r="N23" s="16"/>
      <c r="O23" s="17"/>
      <c r="P23" s="18" t="s">
        <v>36</v>
      </c>
      <c r="Q23" s="16"/>
    </row>
    <row r="24" spans="1:17" ht="18">
      <c r="A24" s="157" t="s">
        <v>37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7" ht="18">
      <c r="A25" s="157" t="s">
        <v>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1:17" ht="15.75">
      <c r="A26" s="158" t="s">
        <v>2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8" ht="12.75">
      <c r="A27" s="147" t="s">
        <v>3</v>
      </c>
      <c r="B27" s="153" t="s">
        <v>4</v>
      </c>
      <c r="C27" s="153" t="s">
        <v>5</v>
      </c>
      <c r="D27" s="153" t="s">
        <v>6</v>
      </c>
      <c r="E27" s="152" t="s">
        <v>7</v>
      </c>
      <c r="F27" s="152"/>
      <c r="G27" s="152"/>
      <c r="H27" s="153" t="s">
        <v>8</v>
      </c>
      <c r="I27" s="146" t="s">
        <v>9</v>
      </c>
      <c r="J27" s="146" t="s">
        <v>38</v>
      </c>
      <c r="K27" s="150" t="s">
        <v>11</v>
      </c>
      <c r="L27" s="146" t="s">
        <v>39</v>
      </c>
      <c r="M27" s="147" t="s">
        <v>13</v>
      </c>
      <c r="N27" s="147" t="s">
        <v>14</v>
      </c>
      <c r="O27" s="146" t="s">
        <v>15</v>
      </c>
      <c r="P27" s="147" t="s">
        <v>16</v>
      </c>
      <c r="Q27" s="147" t="s">
        <v>17</v>
      </c>
      <c r="R27" s="148" t="s">
        <v>82</v>
      </c>
    </row>
    <row r="28" spans="1:18" ht="79.5" customHeight="1">
      <c r="A28" s="147"/>
      <c r="B28" s="155"/>
      <c r="C28" s="156"/>
      <c r="D28" s="154"/>
      <c r="E28" s="19" t="s">
        <v>18</v>
      </c>
      <c r="F28" s="19" t="s">
        <v>19</v>
      </c>
      <c r="G28" s="19" t="s">
        <v>20</v>
      </c>
      <c r="H28" s="154"/>
      <c r="I28" s="146"/>
      <c r="J28" s="146"/>
      <c r="K28" s="151"/>
      <c r="L28" s="146"/>
      <c r="M28" s="147"/>
      <c r="N28" s="147"/>
      <c r="O28" s="146"/>
      <c r="P28" s="147"/>
      <c r="Q28" s="147"/>
      <c r="R28" s="149"/>
    </row>
    <row r="29" spans="1:18" ht="14.25">
      <c r="A29" s="20" t="s">
        <v>40</v>
      </c>
      <c r="B29" s="4">
        <v>93.78</v>
      </c>
      <c r="C29" s="4">
        <v>0</v>
      </c>
      <c r="D29" s="4">
        <v>93.78</v>
      </c>
      <c r="E29" s="4">
        <v>7.05</v>
      </c>
      <c r="F29" s="4">
        <v>42.73</v>
      </c>
      <c r="G29" s="4">
        <v>0.06</v>
      </c>
      <c r="H29" s="4">
        <v>49.84</v>
      </c>
      <c r="I29" s="5">
        <v>0</v>
      </c>
      <c r="J29" s="5">
        <v>0</v>
      </c>
      <c r="K29" s="4">
        <v>49.84</v>
      </c>
      <c r="L29" s="5">
        <v>43.94</v>
      </c>
      <c r="M29" s="4">
        <v>24.12</v>
      </c>
      <c r="N29" s="4">
        <v>13.28</v>
      </c>
      <c r="O29" s="5">
        <v>37.4</v>
      </c>
      <c r="P29" s="6">
        <v>6.540000000000013</v>
      </c>
      <c r="Q29" s="4">
        <v>85.11606736458805</v>
      </c>
      <c r="R29" s="39"/>
    </row>
    <row r="30" spans="1:18" ht="14.25">
      <c r="A30" s="20" t="s">
        <v>41</v>
      </c>
      <c r="B30" s="4">
        <v>2334.96</v>
      </c>
      <c r="C30" s="4">
        <v>33.39</v>
      </c>
      <c r="D30" s="4">
        <v>2368.35</v>
      </c>
      <c r="E30" s="4">
        <v>0</v>
      </c>
      <c r="F30" s="4">
        <v>1.51</v>
      </c>
      <c r="G30" s="4">
        <v>0</v>
      </c>
      <c r="H30" s="4">
        <v>1.51</v>
      </c>
      <c r="I30" s="5">
        <v>4.07</v>
      </c>
      <c r="J30" s="5">
        <v>28.87</v>
      </c>
      <c r="K30" s="4">
        <v>34.45</v>
      </c>
      <c r="L30" s="5">
        <v>2333.9</v>
      </c>
      <c r="M30" s="4">
        <v>2517.8</v>
      </c>
      <c r="N30" s="4">
        <v>198.57</v>
      </c>
      <c r="O30" s="5">
        <v>2716.37</v>
      </c>
      <c r="P30" s="6">
        <v>-382.47</v>
      </c>
      <c r="Q30" s="4">
        <v>116.38759158490079</v>
      </c>
      <c r="R30" s="39"/>
    </row>
    <row r="31" spans="1:18" ht="15">
      <c r="A31" s="21" t="s">
        <v>42</v>
      </c>
      <c r="B31" s="8">
        <v>2428.74</v>
      </c>
      <c r="C31" s="8">
        <v>33.39</v>
      </c>
      <c r="D31" s="8">
        <v>2462.13</v>
      </c>
      <c r="E31" s="8">
        <v>7.05</v>
      </c>
      <c r="F31" s="8">
        <v>44.24</v>
      </c>
      <c r="G31" s="8">
        <v>0.06</v>
      </c>
      <c r="H31" s="8">
        <v>51.35</v>
      </c>
      <c r="I31" s="9">
        <v>4.07</v>
      </c>
      <c r="J31" s="9">
        <v>28.87</v>
      </c>
      <c r="K31" s="8">
        <v>84.29</v>
      </c>
      <c r="L31" s="9">
        <v>2377.84</v>
      </c>
      <c r="M31" s="8">
        <v>2541.92</v>
      </c>
      <c r="N31" s="8">
        <v>211.85</v>
      </c>
      <c r="O31" s="9">
        <v>2753.77</v>
      </c>
      <c r="P31" s="22">
        <v>-375.9299999999994</v>
      </c>
      <c r="Q31" s="8">
        <v>115.80972647444736</v>
      </c>
      <c r="R31" s="38" t="s">
        <v>83</v>
      </c>
    </row>
    <row r="32" spans="1:18" ht="14.25">
      <c r="A32" s="20" t="s">
        <v>43</v>
      </c>
      <c r="B32" s="4">
        <v>3853.25</v>
      </c>
      <c r="C32" s="4">
        <v>0</v>
      </c>
      <c r="D32" s="4">
        <v>3853.25</v>
      </c>
      <c r="E32" s="4">
        <v>1705.76</v>
      </c>
      <c r="F32" s="4">
        <v>1223.89</v>
      </c>
      <c r="G32" s="4">
        <v>99.05</v>
      </c>
      <c r="H32" s="4">
        <v>3028.7</v>
      </c>
      <c r="I32" s="5">
        <v>25.92</v>
      </c>
      <c r="J32" s="5">
        <v>410.69</v>
      </c>
      <c r="K32" s="4">
        <v>3465.31</v>
      </c>
      <c r="L32" s="5">
        <v>387.94</v>
      </c>
      <c r="M32" s="4">
        <v>116.98</v>
      </c>
      <c r="N32" s="4">
        <v>53.74</v>
      </c>
      <c r="O32" s="5">
        <v>170.72</v>
      </c>
      <c r="P32" s="4">
        <v>217.22</v>
      </c>
      <c r="Q32" s="4">
        <v>44.00680517605816</v>
      </c>
      <c r="R32" s="38"/>
    </row>
    <row r="33" spans="1:18" ht="14.25">
      <c r="A33" s="20" t="s">
        <v>44</v>
      </c>
      <c r="B33" s="4">
        <v>8589.96</v>
      </c>
      <c r="C33" s="4">
        <v>2138.56</v>
      </c>
      <c r="D33" s="4">
        <v>10728.52</v>
      </c>
      <c r="E33" s="4">
        <v>3087.99</v>
      </c>
      <c r="F33" s="4">
        <v>244.12</v>
      </c>
      <c r="G33" s="4">
        <v>290.47</v>
      </c>
      <c r="H33" s="4">
        <v>3622.58</v>
      </c>
      <c r="I33" s="5">
        <v>31.4</v>
      </c>
      <c r="J33" s="5">
        <v>48.15</v>
      </c>
      <c r="K33" s="4">
        <v>3702.13</v>
      </c>
      <c r="L33" s="5">
        <v>7026.39</v>
      </c>
      <c r="M33" s="4">
        <v>4019.55</v>
      </c>
      <c r="N33" s="4">
        <v>2137.95</v>
      </c>
      <c r="O33" s="5">
        <v>6157.5</v>
      </c>
      <c r="P33" s="4">
        <v>868.8900000000012</v>
      </c>
      <c r="Q33" s="4">
        <v>87.63390588908385</v>
      </c>
      <c r="R33" s="38"/>
    </row>
    <row r="34" spans="1:18" ht="15">
      <c r="A34" s="23" t="s">
        <v>45</v>
      </c>
      <c r="B34" s="8">
        <v>12443.21</v>
      </c>
      <c r="C34" s="8">
        <v>2138.56</v>
      </c>
      <c r="D34" s="8">
        <v>14581.77</v>
      </c>
      <c r="E34" s="8">
        <v>4793.75</v>
      </c>
      <c r="F34" s="8">
        <v>1468.01</v>
      </c>
      <c r="G34" s="8">
        <v>389.52</v>
      </c>
      <c r="H34" s="8">
        <v>6651.28</v>
      </c>
      <c r="I34" s="9">
        <v>57.32</v>
      </c>
      <c r="J34" s="9">
        <v>458.84</v>
      </c>
      <c r="K34" s="8">
        <v>7167.44</v>
      </c>
      <c r="L34" s="9">
        <v>7414.33</v>
      </c>
      <c r="M34" s="8">
        <v>4136.53</v>
      </c>
      <c r="N34" s="8">
        <v>2191.69</v>
      </c>
      <c r="O34" s="9">
        <v>6328.22</v>
      </c>
      <c r="P34" s="8">
        <v>1086.11</v>
      </c>
      <c r="Q34" s="8">
        <v>85.35120503133795</v>
      </c>
      <c r="R34" s="38"/>
    </row>
    <row r="35" spans="1:18" ht="14.25">
      <c r="A35" s="20" t="s">
        <v>46</v>
      </c>
      <c r="B35" s="4">
        <v>216.75</v>
      </c>
      <c r="C35" s="4">
        <v>0</v>
      </c>
      <c r="D35" s="4">
        <v>216.75</v>
      </c>
      <c r="E35" s="4">
        <v>42.17</v>
      </c>
      <c r="F35" s="4">
        <v>70.15</v>
      </c>
      <c r="G35" s="4">
        <v>14.54</v>
      </c>
      <c r="H35" s="4">
        <v>126.86</v>
      </c>
      <c r="I35" s="5">
        <v>4.11</v>
      </c>
      <c r="J35" s="5">
        <v>20.76</v>
      </c>
      <c r="K35" s="4">
        <v>151.73</v>
      </c>
      <c r="L35" s="5">
        <v>65.02</v>
      </c>
      <c r="M35" s="4">
        <v>14.87</v>
      </c>
      <c r="N35" s="4">
        <v>36.31</v>
      </c>
      <c r="O35" s="5">
        <v>51.18</v>
      </c>
      <c r="P35" s="4">
        <v>13.84</v>
      </c>
      <c r="Q35" s="4">
        <v>78.71424177176252</v>
      </c>
      <c r="R35" s="38"/>
    </row>
    <row r="36" spans="1:18" ht="14.25">
      <c r="A36" s="20" t="s">
        <v>47</v>
      </c>
      <c r="B36" s="4">
        <v>130.52</v>
      </c>
      <c r="C36" s="4">
        <v>36.81</v>
      </c>
      <c r="D36" s="4">
        <v>167.33</v>
      </c>
      <c r="E36" s="4">
        <v>0.04</v>
      </c>
      <c r="F36" s="4">
        <v>8.65</v>
      </c>
      <c r="G36" s="4">
        <v>1.34</v>
      </c>
      <c r="H36" s="4">
        <v>10.03</v>
      </c>
      <c r="I36" s="5">
        <v>0.31</v>
      </c>
      <c r="J36" s="5">
        <v>15.18</v>
      </c>
      <c r="K36" s="4">
        <v>25.52</v>
      </c>
      <c r="L36" s="5">
        <v>141.81</v>
      </c>
      <c r="M36" s="4">
        <v>83.75</v>
      </c>
      <c r="N36" s="4">
        <v>52.47</v>
      </c>
      <c r="O36" s="5">
        <v>136.22</v>
      </c>
      <c r="P36" s="4">
        <v>5.589999999999975</v>
      </c>
      <c r="Q36" s="4">
        <v>96.05810591636698</v>
      </c>
      <c r="R36" s="38"/>
    </row>
    <row r="37" spans="1:18" ht="15">
      <c r="A37" s="21" t="s">
        <v>48</v>
      </c>
      <c r="B37" s="8">
        <v>347.27</v>
      </c>
      <c r="C37" s="8">
        <v>36.81</v>
      </c>
      <c r="D37" s="8">
        <v>384.08</v>
      </c>
      <c r="E37" s="8">
        <v>42.21</v>
      </c>
      <c r="F37" s="8">
        <v>78.8</v>
      </c>
      <c r="G37" s="8">
        <v>15.88</v>
      </c>
      <c r="H37" s="8">
        <v>136.89</v>
      </c>
      <c r="I37" s="9">
        <v>4.42</v>
      </c>
      <c r="J37" s="9">
        <v>35.94</v>
      </c>
      <c r="K37" s="8">
        <v>177.25</v>
      </c>
      <c r="L37" s="9">
        <v>206.83</v>
      </c>
      <c r="M37" s="8">
        <v>98.62</v>
      </c>
      <c r="N37" s="8">
        <v>88.78</v>
      </c>
      <c r="O37" s="9">
        <v>187.4</v>
      </c>
      <c r="P37" s="8">
        <v>19.430000000000064</v>
      </c>
      <c r="Q37" s="8">
        <v>90.60581153604407</v>
      </c>
      <c r="R37" s="38"/>
    </row>
    <row r="38" spans="1:18" ht="14.25">
      <c r="A38" s="20" t="s">
        <v>49</v>
      </c>
      <c r="B38" s="4">
        <v>44.17</v>
      </c>
      <c r="C38" s="4">
        <v>0</v>
      </c>
      <c r="D38" s="4">
        <v>44.17</v>
      </c>
      <c r="E38" s="4">
        <v>1.93</v>
      </c>
      <c r="F38" s="4">
        <v>1.82</v>
      </c>
      <c r="G38" s="4">
        <v>7.04</v>
      </c>
      <c r="H38" s="4">
        <v>10.79</v>
      </c>
      <c r="I38" s="5">
        <v>0.1</v>
      </c>
      <c r="J38" s="5">
        <v>2.66</v>
      </c>
      <c r="K38" s="4">
        <v>13.55</v>
      </c>
      <c r="L38" s="5">
        <v>30.62</v>
      </c>
      <c r="M38" s="4">
        <v>9.74</v>
      </c>
      <c r="N38" s="4">
        <v>0.73</v>
      </c>
      <c r="O38" s="5">
        <v>10.47</v>
      </c>
      <c r="P38" s="4">
        <v>20.15</v>
      </c>
      <c r="Q38" s="4">
        <v>34.19333768778576</v>
      </c>
      <c r="R38" s="38"/>
    </row>
    <row r="39" spans="1:18" ht="14.25">
      <c r="A39" s="24" t="s">
        <v>50</v>
      </c>
      <c r="B39" s="4">
        <v>82.77</v>
      </c>
      <c r="C39" s="4">
        <v>0.69</v>
      </c>
      <c r="D39" s="4">
        <v>83.46</v>
      </c>
      <c r="E39" s="4">
        <v>0</v>
      </c>
      <c r="F39" s="4">
        <v>0</v>
      </c>
      <c r="G39" s="4">
        <v>0.48</v>
      </c>
      <c r="H39" s="4">
        <v>0.48</v>
      </c>
      <c r="I39" s="5">
        <v>0.63</v>
      </c>
      <c r="J39" s="5">
        <v>0.07</v>
      </c>
      <c r="K39" s="4">
        <v>1.18</v>
      </c>
      <c r="L39" s="5">
        <v>82.28</v>
      </c>
      <c r="M39" s="4">
        <v>71.16</v>
      </c>
      <c r="N39" s="4">
        <v>8.69</v>
      </c>
      <c r="O39" s="5">
        <v>79.85</v>
      </c>
      <c r="P39" s="4">
        <v>2.4299999999999784</v>
      </c>
      <c r="Q39" s="4">
        <v>97.0466699076325</v>
      </c>
      <c r="R39" s="38"/>
    </row>
    <row r="40" spans="1:18" ht="15">
      <c r="A40" s="21" t="s">
        <v>51</v>
      </c>
      <c r="B40" s="8">
        <v>126.94</v>
      </c>
      <c r="C40" s="8">
        <v>0.69</v>
      </c>
      <c r="D40" s="8">
        <v>127.63</v>
      </c>
      <c r="E40" s="8">
        <v>1.93</v>
      </c>
      <c r="F40" s="8">
        <v>1.82</v>
      </c>
      <c r="G40" s="8">
        <v>7.52</v>
      </c>
      <c r="H40" s="8">
        <v>11.27</v>
      </c>
      <c r="I40" s="9">
        <v>0.73</v>
      </c>
      <c r="J40" s="9">
        <v>2.73</v>
      </c>
      <c r="K40" s="8">
        <v>14.73</v>
      </c>
      <c r="L40" s="9">
        <v>112.9</v>
      </c>
      <c r="M40" s="8">
        <v>80.9</v>
      </c>
      <c r="N40" s="8">
        <v>9.42</v>
      </c>
      <c r="O40" s="9">
        <v>90.32</v>
      </c>
      <c r="P40" s="8">
        <v>22.58</v>
      </c>
      <c r="Q40" s="8">
        <v>80</v>
      </c>
      <c r="R40" s="38"/>
    </row>
    <row r="41" spans="1:18" ht="14.25">
      <c r="A41" s="20" t="s">
        <v>52</v>
      </c>
      <c r="B41" s="4">
        <v>2155.48</v>
      </c>
      <c r="C41" s="4">
        <v>0</v>
      </c>
      <c r="D41" s="4">
        <v>2155.48</v>
      </c>
      <c r="E41" s="4">
        <v>975.01</v>
      </c>
      <c r="F41" s="4">
        <v>285.35</v>
      </c>
      <c r="G41" s="4">
        <v>338.77</v>
      </c>
      <c r="H41" s="4">
        <v>1599.13</v>
      </c>
      <c r="I41" s="5">
        <v>12.15</v>
      </c>
      <c r="J41" s="5">
        <v>71.55</v>
      </c>
      <c r="K41" s="4">
        <v>1682.83</v>
      </c>
      <c r="L41" s="5">
        <v>472.65000000000055</v>
      </c>
      <c r="M41" s="4">
        <v>323.28</v>
      </c>
      <c r="N41" s="4">
        <v>84.16</v>
      </c>
      <c r="O41" s="5">
        <v>407.44</v>
      </c>
      <c r="P41" s="4">
        <v>65.21000000000055</v>
      </c>
      <c r="Q41" s="4">
        <v>86.20332169681572</v>
      </c>
      <c r="R41" s="38"/>
    </row>
    <row r="42" spans="1:18" ht="14.25">
      <c r="A42" s="20" t="s">
        <v>53</v>
      </c>
      <c r="B42" s="4">
        <v>5190.42</v>
      </c>
      <c r="C42" s="4">
        <v>1237.48</v>
      </c>
      <c r="D42" s="4">
        <v>6427.9</v>
      </c>
      <c r="E42" s="4">
        <v>146.58</v>
      </c>
      <c r="F42" s="4">
        <v>33.83</v>
      </c>
      <c r="G42" s="4">
        <v>101.96</v>
      </c>
      <c r="H42" s="4">
        <v>282.37</v>
      </c>
      <c r="I42" s="5">
        <v>9.29</v>
      </c>
      <c r="J42" s="5">
        <v>0.56</v>
      </c>
      <c r="K42" s="4">
        <v>292.22</v>
      </c>
      <c r="L42" s="5">
        <v>6135.68</v>
      </c>
      <c r="M42" s="4">
        <v>4634.65</v>
      </c>
      <c r="N42" s="4">
        <v>1296.07</v>
      </c>
      <c r="O42" s="5">
        <v>5930.72</v>
      </c>
      <c r="P42" s="4">
        <v>204.96000000000095</v>
      </c>
      <c r="Q42" s="4">
        <v>96.65953895900698</v>
      </c>
      <c r="R42" s="38"/>
    </row>
    <row r="43" spans="1:18" ht="15">
      <c r="A43" s="21" t="s">
        <v>54</v>
      </c>
      <c r="B43" s="8">
        <v>7345.9</v>
      </c>
      <c r="C43" s="8">
        <v>1237.48</v>
      </c>
      <c r="D43" s="8">
        <v>8583.38</v>
      </c>
      <c r="E43" s="8">
        <v>1121.59</v>
      </c>
      <c r="F43" s="8">
        <v>319.18</v>
      </c>
      <c r="G43" s="8">
        <v>440.73</v>
      </c>
      <c r="H43" s="8">
        <v>1881.5</v>
      </c>
      <c r="I43" s="9">
        <v>21.44</v>
      </c>
      <c r="J43" s="9">
        <v>72.11</v>
      </c>
      <c r="K43" s="8">
        <v>1975.05</v>
      </c>
      <c r="L43" s="9">
        <v>6608.33</v>
      </c>
      <c r="M43" s="8">
        <v>4957.93</v>
      </c>
      <c r="N43" s="8">
        <v>1380.23</v>
      </c>
      <c r="O43" s="9">
        <v>6338.16</v>
      </c>
      <c r="P43" s="8">
        <v>270.170000000001</v>
      </c>
      <c r="Q43" s="8">
        <v>95.91167511307697</v>
      </c>
      <c r="R43" s="38"/>
    </row>
    <row r="44" spans="1:18" ht="14.25">
      <c r="A44" s="20" t="s">
        <v>55</v>
      </c>
      <c r="B44" s="4">
        <v>70.81</v>
      </c>
      <c r="C44" s="4">
        <v>0</v>
      </c>
      <c r="D44" s="4">
        <v>70.81</v>
      </c>
      <c r="E44" s="4">
        <v>7.81</v>
      </c>
      <c r="F44" s="4">
        <v>1.96</v>
      </c>
      <c r="G44" s="4">
        <v>11.97</v>
      </c>
      <c r="H44" s="4">
        <v>21.74</v>
      </c>
      <c r="I44" s="5">
        <v>1.84</v>
      </c>
      <c r="J44" s="5">
        <v>3.92</v>
      </c>
      <c r="K44" s="4">
        <v>27.5</v>
      </c>
      <c r="L44" s="5">
        <v>43.31</v>
      </c>
      <c r="M44" s="4">
        <v>30.07</v>
      </c>
      <c r="N44" s="4">
        <v>5.86</v>
      </c>
      <c r="O44" s="5">
        <v>35.93</v>
      </c>
      <c r="P44" s="4">
        <v>7.379999999999988</v>
      </c>
      <c r="Q44" s="4">
        <v>82.96005541445396</v>
      </c>
      <c r="R44" s="38"/>
    </row>
    <row r="45" spans="1:18" ht="14.25">
      <c r="A45" s="24" t="s">
        <v>56</v>
      </c>
      <c r="B45" s="4">
        <v>400.833</v>
      </c>
      <c r="C45" s="4">
        <v>120.99</v>
      </c>
      <c r="D45" s="4">
        <v>521.823</v>
      </c>
      <c r="E45" s="4">
        <v>1.5</v>
      </c>
      <c r="F45" s="4">
        <v>0.74</v>
      </c>
      <c r="G45" s="4">
        <v>9.02</v>
      </c>
      <c r="H45" s="4">
        <v>11.26</v>
      </c>
      <c r="I45" s="5">
        <v>0.45</v>
      </c>
      <c r="J45" s="5">
        <v>5.79</v>
      </c>
      <c r="K45" s="4">
        <v>17.5</v>
      </c>
      <c r="L45" s="5">
        <v>504.323</v>
      </c>
      <c r="M45" s="4">
        <v>300.23</v>
      </c>
      <c r="N45" s="4">
        <v>178.57</v>
      </c>
      <c r="O45" s="5">
        <v>478.8</v>
      </c>
      <c r="P45" s="4">
        <v>25.523000000000025</v>
      </c>
      <c r="Q45" s="4">
        <v>94.93915605673348</v>
      </c>
      <c r="R45" s="38"/>
    </row>
    <row r="46" spans="1:18" ht="15">
      <c r="A46" s="21" t="s">
        <v>57</v>
      </c>
      <c r="B46" s="8">
        <v>471.64300000000003</v>
      </c>
      <c r="C46" s="8">
        <v>120.99</v>
      </c>
      <c r="D46" s="8">
        <v>592.6329999999999</v>
      </c>
      <c r="E46" s="8">
        <v>9.31</v>
      </c>
      <c r="F46" s="8">
        <v>2.7</v>
      </c>
      <c r="G46" s="8">
        <v>20.99</v>
      </c>
      <c r="H46" s="8">
        <v>33</v>
      </c>
      <c r="I46" s="9">
        <v>2.29</v>
      </c>
      <c r="J46" s="9">
        <v>9.71</v>
      </c>
      <c r="K46" s="8">
        <v>45</v>
      </c>
      <c r="L46" s="9">
        <v>547.6329999999999</v>
      </c>
      <c r="M46" s="8">
        <v>330.3</v>
      </c>
      <c r="N46" s="8">
        <v>184.43</v>
      </c>
      <c r="O46" s="9">
        <v>514.73</v>
      </c>
      <c r="P46" s="8">
        <v>32.902999999999906</v>
      </c>
      <c r="Q46" s="8">
        <v>93.99177916597431</v>
      </c>
      <c r="R46" s="38"/>
    </row>
    <row r="47" spans="1:18" ht="22.5">
      <c r="A47" s="25" t="s">
        <v>58</v>
      </c>
      <c r="B47" s="4">
        <v>828.77</v>
      </c>
      <c r="C47" s="4">
        <v>10.55</v>
      </c>
      <c r="D47" s="4">
        <v>839.32</v>
      </c>
      <c r="E47" s="4">
        <v>0</v>
      </c>
      <c r="F47" s="4">
        <v>0</v>
      </c>
      <c r="G47" s="4">
        <v>0</v>
      </c>
      <c r="H47" s="4">
        <v>0</v>
      </c>
      <c r="I47" s="5">
        <v>13.47</v>
      </c>
      <c r="J47" s="5">
        <v>345.9</v>
      </c>
      <c r="K47" s="4">
        <v>359.37</v>
      </c>
      <c r="L47" s="5">
        <v>479.95</v>
      </c>
      <c r="M47" s="4">
        <v>150.97</v>
      </c>
      <c r="N47" s="4">
        <v>12.43</v>
      </c>
      <c r="O47" s="5">
        <v>163.4</v>
      </c>
      <c r="P47" s="4">
        <v>316.55</v>
      </c>
      <c r="Q47" s="4">
        <v>34.04521304302531</v>
      </c>
      <c r="R47" s="38"/>
    </row>
    <row r="48" spans="1:18" ht="15">
      <c r="A48" s="23" t="s">
        <v>59</v>
      </c>
      <c r="B48" s="8">
        <v>23992.473</v>
      </c>
      <c r="C48" s="8">
        <v>3578.47</v>
      </c>
      <c r="D48" s="8">
        <v>27570.943000000007</v>
      </c>
      <c r="E48" s="8">
        <v>5975.84</v>
      </c>
      <c r="F48" s="8">
        <v>1914.75</v>
      </c>
      <c r="G48" s="8">
        <v>874.7</v>
      </c>
      <c r="H48" s="8">
        <v>8765.29</v>
      </c>
      <c r="I48" s="9">
        <v>103.74</v>
      </c>
      <c r="J48" s="9">
        <v>954.1</v>
      </c>
      <c r="K48" s="8">
        <v>9823.13</v>
      </c>
      <c r="L48" s="9">
        <v>17747.813000000006</v>
      </c>
      <c r="M48" s="8">
        <v>12297.17</v>
      </c>
      <c r="N48" s="8">
        <v>4078.83</v>
      </c>
      <c r="O48" s="9">
        <v>16376</v>
      </c>
      <c r="P48" s="8">
        <v>1371.8130000000092</v>
      </c>
      <c r="Q48" s="8">
        <v>92.27052369776484</v>
      </c>
      <c r="R48" s="38"/>
    </row>
    <row r="49" spans="1:17" ht="12.75">
      <c r="A49" t="s">
        <v>60</v>
      </c>
      <c r="E49" s="26"/>
      <c r="F49" s="26"/>
      <c r="G49" s="26"/>
      <c r="H49" s="26"/>
      <c r="I49" s="27"/>
      <c r="J49" s="27"/>
      <c r="K49" s="26"/>
      <c r="L49" s="27"/>
      <c r="M49" s="26"/>
      <c r="N49" s="26"/>
      <c r="O49" s="27"/>
      <c r="P49" s="26"/>
      <c r="Q49" s="26"/>
    </row>
    <row r="50" spans="1:17" ht="12.75">
      <c r="A50" t="s">
        <v>61</v>
      </c>
      <c r="E50" s="26"/>
      <c r="F50" s="26"/>
      <c r="G50" s="26"/>
      <c r="H50" s="26"/>
      <c r="I50" s="27"/>
      <c r="J50" s="27"/>
      <c r="K50" s="26"/>
      <c r="L50" s="27"/>
      <c r="M50" s="26"/>
      <c r="N50" s="26"/>
      <c r="O50" s="27"/>
      <c r="P50" s="26"/>
      <c r="Q50" s="26"/>
    </row>
    <row r="51" spans="1:17" ht="18">
      <c r="A51" s="157" t="s">
        <v>62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1:17" ht="18">
      <c r="A52" s="157" t="s">
        <v>63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1:17" ht="15.75">
      <c r="A53" s="158" t="s">
        <v>2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1:18" ht="12.75">
      <c r="A54" s="168" t="s">
        <v>3</v>
      </c>
      <c r="B54" s="153" t="s">
        <v>4</v>
      </c>
      <c r="C54" s="153" t="s">
        <v>5</v>
      </c>
      <c r="D54" s="153" t="s">
        <v>6</v>
      </c>
      <c r="E54" s="152" t="s">
        <v>7</v>
      </c>
      <c r="F54" s="152"/>
      <c r="G54" s="152"/>
      <c r="H54" s="171" t="s">
        <v>8</v>
      </c>
      <c r="I54" s="172" t="s">
        <v>9</v>
      </c>
      <c r="J54" s="172" t="s">
        <v>38</v>
      </c>
      <c r="K54" s="150" t="s">
        <v>11</v>
      </c>
      <c r="L54" s="146" t="s">
        <v>12</v>
      </c>
      <c r="M54" s="168" t="s">
        <v>13</v>
      </c>
      <c r="N54" s="168" t="s">
        <v>14</v>
      </c>
      <c r="O54" s="172" t="s">
        <v>15</v>
      </c>
      <c r="P54" s="168" t="s">
        <v>16</v>
      </c>
      <c r="Q54" s="168" t="s">
        <v>17</v>
      </c>
      <c r="R54" s="148" t="s">
        <v>82</v>
      </c>
    </row>
    <row r="55" spans="1:18" ht="69" customHeight="1">
      <c r="A55" s="168"/>
      <c r="B55" s="155"/>
      <c r="C55" s="156"/>
      <c r="D55" s="154"/>
      <c r="E55" s="1" t="s">
        <v>18</v>
      </c>
      <c r="F55" s="1" t="s">
        <v>19</v>
      </c>
      <c r="G55" s="1" t="s">
        <v>20</v>
      </c>
      <c r="H55" s="154"/>
      <c r="I55" s="172"/>
      <c r="J55" s="172"/>
      <c r="K55" s="151"/>
      <c r="L55" s="146"/>
      <c r="M55" s="168"/>
      <c r="N55" s="168"/>
      <c r="O55" s="172"/>
      <c r="P55" s="168"/>
      <c r="Q55" s="168"/>
      <c r="R55" s="149"/>
    </row>
    <row r="56" spans="1:18" ht="14.25">
      <c r="A56" s="24" t="s">
        <v>21</v>
      </c>
      <c r="B56" s="4">
        <v>25062.89</v>
      </c>
      <c r="C56" s="4">
        <v>925.43</v>
      </c>
      <c r="D56" s="4">
        <v>25988.32</v>
      </c>
      <c r="E56" s="4">
        <v>7403.22</v>
      </c>
      <c r="F56" s="4">
        <v>7026.64</v>
      </c>
      <c r="G56" s="4">
        <v>420.35</v>
      </c>
      <c r="H56" s="4">
        <v>14850.21</v>
      </c>
      <c r="I56" s="5">
        <v>758.47</v>
      </c>
      <c r="J56" s="5">
        <v>4135.51</v>
      </c>
      <c r="K56" s="4">
        <v>19744.19</v>
      </c>
      <c r="L56" s="5">
        <v>6244.13</v>
      </c>
      <c r="M56" s="4">
        <v>2942.45</v>
      </c>
      <c r="N56" s="4">
        <v>1072.21</v>
      </c>
      <c r="O56" s="5">
        <v>4014.66</v>
      </c>
      <c r="P56" s="4">
        <v>2229.47</v>
      </c>
      <c r="Q56" s="4">
        <v>64.2949458131077</v>
      </c>
      <c r="R56" s="39"/>
    </row>
    <row r="57" spans="1:18" ht="14.25">
      <c r="A57" s="24" t="s">
        <v>22</v>
      </c>
      <c r="B57" s="4">
        <v>46429.01</v>
      </c>
      <c r="C57" s="4">
        <v>4596.73</v>
      </c>
      <c r="D57" s="4">
        <v>51025.74</v>
      </c>
      <c r="E57" s="4">
        <v>8051.85</v>
      </c>
      <c r="F57" s="4">
        <v>21590.52</v>
      </c>
      <c r="G57" s="4">
        <v>6850.17</v>
      </c>
      <c r="H57" s="4">
        <v>36492.54</v>
      </c>
      <c r="I57" s="5">
        <v>6647.37</v>
      </c>
      <c r="J57" s="5">
        <v>4093.68</v>
      </c>
      <c r="K57" s="4">
        <v>47233.59</v>
      </c>
      <c r="L57" s="5">
        <v>3792.15</v>
      </c>
      <c r="M57" s="4">
        <v>2502.95</v>
      </c>
      <c r="N57" s="4">
        <v>696.84</v>
      </c>
      <c r="O57" s="5">
        <v>3199.79</v>
      </c>
      <c r="P57" s="4">
        <v>592.3599999999976</v>
      </c>
      <c r="Q57" s="4">
        <v>84.3793098901679</v>
      </c>
      <c r="R57" s="39"/>
    </row>
    <row r="58" spans="1:18" ht="14.25">
      <c r="A58" s="24" t="s">
        <v>23</v>
      </c>
      <c r="B58" s="4">
        <v>9467.57</v>
      </c>
      <c r="C58" s="4">
        <v>337.5</v>
      </c>
      <c r="D58" s="4">
        <v>9805.07</v>
      </c>
      <c r="E58" s="4">
        <v>1093.27</v>
      </c>
      <c r="F58" s="4">
        <v>3712.55</v>
      </c>
      <c r="G58" s="4">
        <v>679.25</v>
      </c>
      <c r="H58" s="4">
        <v>5485.07</v>
      </c>
      <c r="I58" s="5">
        <v>1982.57</v>
      </c>
      <c r="J58" s="5">
        <v>889.68</v>
      </c>
      <c r="K58" s="4">
        <v>8357.32</v>
      </c>
      <c r="L58" s="5">
        <v>1447.75</v>
      </c>
      <c r="M58" s="4">
        <v>920.93</v>
      </c>
      <c r="N58" s="4">
        <v>384.33</v>
      </c>
      <c r="O58" s="5">
        <v>1305.26</v>
      </c>
      <c r="P58" s="4">
        <v>142.49000000000078</v>
      </c>
      <c r="Q58" s="4">
        <v>90.15783111725085</v>
      </c>
      <c r="R58" s="38"/>
    </row>
    <row r="59" spans="1:18" ht="14.25">
      <c r="A59" s="24" t="s">
        <v>24</v>
      </c>
      <c r="B59" s="4">
        <v>7839.21</v>
      </c>
      <c r="C59" s="4">
        <v>512.27</v>
      </c>
      <c r="D59" s="4">
        <v>8351.48</v>
      </c>
      <c r="E59" s="4">
        <v>1977.09</v>
      </c>
      <c r="F59" s="4">
        <v>2985.83</v>
      </c>
      <c r="G59" s="4">
        <v>335.33</v>
      </c>
      <c r="H59" s="4">
        <v>5298.25</v>
      </c>
      <c r="I59" s="5">
        <v>99.53</v>
      </c>
      <c r="J59" s="5">
        <v>1017.93</v>
      </c>
      <c r="K59" s="4">
        <v>6415.71</v>
      </c>
      <c r="L59" s="5">
        <v>1935.77</v>
      </c>
      <c r="M59" s="4">
        <v>1317.57</v>
      </c>
      <c r="N59" s="4">
        <v>370.75</v>
      </c>
      <c r="O59" s="5">
        <v>1688.32</v>
      </c>
      <c r="P59" s="4">
        <v>247.45</v>
      </c>
      <c r="Q59" s="4">
        <v>87.2169730908114</v>
      </c>
      <c r="R59" s="38"/>
    </row>
    <row r="60" spans="1:18" ht="14.25">
      <c r="A60" s="24" t="s">
        <v>25</v>
      </c>
      <c r="B60" s="4">
        <v>11456.67</v>
      </c>
      <c r="C60" s="4">
        <v>518.67</v>
      </c>
      <c r="D60" s="4">
        <v>11975.34</v>
      </c>
      <c r="E60" s="4">
        <v>931.08</v>
      </c>
      <c r="F60" s="4">
        <v>2505.53</v>
      </c>
      <c r="G60" s="4">
        <v>3182.57</v>
      </c>
      <c r="H60" s="4">
        <v>6619.18</v>
      </c>
      <c r="I60" s="5">
        <v>958.74</v>
      </c>
      <c r="J60" s="5">
        <v>1651.07</v>
      </c>
      <c r="K60" s="4">
        <v>9228.99</v>
      </c>
      <c r="L60" s="5">
        <v>2746.35</v>
      </c>
      <c r="M60" s="4">
        <v>1822.75</v>
      </c>
      <c r="N60" s="4">
        <v>601.59</v>
      </c>
      <c r="O60" s="5">
        <v>2424.34</v>
      </c>
      <c r="P60" s="4">
        <v>322.01000000000084</v>
      </c>
      <c r="Q60" s="4">
        <v>88.27498315946617</v>
      </c>
      <c r="R60" s="38"/>
    </row>
    <row r="61" spans="1:18" ht="14.25">
      <c r="A61" s="24" t="s">
        <v>26</v>
      </c>
      <c r="B61" s="4">
        <v>7832.06</v>
      </c>
      <c r="C61" s="4">
        <v>93.57</v>
      </c>
      <c r="D61" s="4">
        <v>7925.63</v>
      </c>
      <c r="E61" s="4">
        <v>3594.58</v>
      </c>
      <c r="F61" s="4">
        <v>663.9</v>
      </c>
      <c r="G61" s="4">
        <v>820.57</v>
      </c>
      <c r="H61" s="4">
        <v>5079.05</v>
      </c>
      <c r="I61" s="5">
        <v>836.94</v>
      </c>
      <c r="J61" s="5">
        <v>659.46</v>
      </c>
      <c r="K61" s="4">
        <v>6575.45</v>
      </c>
      <c r="L61" s="5">
        <v>1350.18</v>
      </c>
      <c r="M61" s="4">
        <v>524.93</v>
      </c>
      <c r="N61" s="4">
        <v>230.45</v>
      </c>
      <c r="O61" s="5">
        <v>755.38</v>
      </c>
      <c r="P61" s="4">
        <v>594.8</v>
      </c>
      <c r="Q61" s="4">
        <v>55.946614525470665</v>
      </c>
      <c r="R61" s="38"/>
    </row>
    <row r="62" spans="1:18" ht="14.25">
      <c r="A62" s="24" t="s">
        <v>27</v>
      </c>
      <c r="B62" s="4">
        <v>64983.6</v>
      </c>
      <c r="C62" s="4">
        <v>709.83</v>
      </c>
      <c r="D62" s="4">
        <v>65693.43</v>
      </c>
      <c r="E62" s="4">
        <v>21587.72</v>
      </c>
      <c r="F62" s="4">
        <v>6463.89</v>
      </c>
      <c r="G62" s="4">
        <v>15038.57</v>
      </c>
      <c r="H62" s="4">
        <v>43090.18</v>
      </c>
      <c r="I62" s="5">
        <v>120.94</v>
      </c>
      <c r="J62" s="5">
        <v>12403.26</v>
      </c>
      <c r="K62" s="4">
        <v>55614.38</v>
      </c>
      <c r="L62" s="5">
        <v>10079.05</v>
      </c>
      <c r="M62" s="4">
        <v>4385.29</v>
      </c>
      <c r="N62" s="4">
        <v>899.09</v>
      </c>
      <c r="O62" s="5">
        <v>5284.38</v>
      </c>
      <c r="P62" s="4">
        <v>4794.67</v>
      </c>
      <c r="Q62" s="4">
        <v>52.42934601971415</v>
      </c>
      <c r="R62" s="38"/>
    </row>
    <row r="63" spans="1:18" ht="14.25">
      <c r="A63" s="24" t="s">
        <v>28</v>
      </c>
      <c r="B63" s="4">
        <v>19249.4</v>
      </c>
      <c r="C63" s="4">
        <v>1062.16</v>
      </c>
      <c r="D63" s="4">
        <v>20311.56</v>
      </c>
      <c r="E63" s="4">
        <v>5536.94</v>
      </c>
      <c r="F63" s="4">
        <v>2801.42</v>
      </c>
      <c r="G63" s="4">
        <v>2623.85</v>
      </c>
      <c r="H63" s="4">
        <v>10962.21</v>
      </c>
      <c r="I63" s="5">
        <v>254.67</v>
      </c>
      <c r="J63" s="5">
        <v>3734.77</v>
      </c>
      <c r="K63" s="4">
        <v>14951.65</v>
      </c>
      <c r="L63" s="5">
        <v>5359.91</v>
      </c>
      <c r="M63" s="4">
        <v>2081.51</v>
      </c>
      <c r="N63" s="4">
        <v>1785.55</v>
      </c>
      <c r="O63" s="5">
        <v>3867.06</v>
      </c>
      <c r="P63" s="4">
        <v>1492.85</v>
      </c>
      <c r="Q63" s="4">
        <v>72.14785322887884</v>
      </c>
      <c r="R63" s="38"/>
    </row>
    <row r="64" spans="1:18" ht="14.25">
      <c r="A64" s="24" t="s">
        <v>29</v>
      </c>
      <c r="B64" s="4">
        <v>33004.47</v>
      </c>
      <c r="C64" s="4">
        <v>8844.25</v>
      </c>
      <c r="D64" s="4">
        <v>41848.72</v>
      </c>
      <c r="E64" s="4">
        <v>17154.73</v>
      </c>
      <c r="F64" s="4">
        <v>1481.29</v>
      </c>
      <c r="G64" s="4">
        <v>1770.37</v>
      </c>
      <c r="H64" s="4">
        <v>20406.39</v>
      </c>
      <c r="I64" s="5">
        <v>10.18</v>
      </c>
      <c r="J64" s="5">
        <v>19385.04</v>
      </c>
      <c r="K64" s="4">
        <v>39801.61</v>
      </c>
      <c r="L64" s="5">
        <v>2047.11</v>
      </c>
      <c r="M64" s="4">
        <v>1196.23</v>
      </c>
      <c r="N64" s="4">
        <v>199.92</v>
      </c>
      <c r="O64" s="5">
        <v>1396.15</v>
      </c>
      <c r="P64" s="4">
        <v>650.96</v>
      </c>
      <c r="Q64" s="4">
        <v>68.20102485943599</v>
      </c>
      <c r="R64" s="38"/>
    </row>
    <row r="65" spans="1:18" ht="14.25">
      <c r="A65" s="24" t="s">
        <v>30</v>
      </c>
      <c r="B65" s="4">
        <v>5466.13</v>
      </c>
      <c r="C65" s="4">
        <v>72.44</v>
      </c>
      <c r="D65" s="4">
        <v>5538.57</v>
      </c>
      <c r="E65" s="4">
        <v>855.31</v>
      </c>
      <c r="F65" s="4">
        <v>804.92</v>
      </c>
      <c r="G65" s="4">
        <v>1044.48</v>
      </c>
      <c r="H65" s="4">
        <v>2704.71</v>
      </c>
      <c r="I65" s="5">
        <v>77.71</v>
      </c>
      <c r="J65" s="5">
        <v>2137.84</v>
      </c>
      <c r="K65" s="4">
        <v>4920.26</v>
      </c>
      <c r="L65" s="5">
        <v>618.31</v>
      </c>
      <c r="M65" s="4">
        <v>457.06</v>
      </c>
      <c r="N65" s="4">
        <v>136.99</v>
      </c>
      <c r="O65" s="5">
        <v>594.05</v>
      </c>
      <c r="P65" s="4">
        <v>24.25999999999984</v>
      </c>
      <c r="Q65" s="4">
        <v>96.07640180491988</v>
      </c>
      <c r="R65" s="38"/>
    </row>
    <row r="66" spans="1:18" ht="14.25">
      <c r="A66" s="24" t="s">
        <v>31</v>
      </c>
      <c r="B66" s="4">
        <v>7166.38</v>
      </c>
      <c r="C66" s="4">
        <v>159.94</v>
      </c>
      <c r="D66" s="4">
        <v>7326.32</v>
      </c>
      <c r="E66" s="4">
        <v>647</v>
      </c>
      <c r="F66" s="4">
        <v>2251</v>
      </c>
      <c r="G66" s="4">
        <v>1138.35</v>
      </c>
      <c r="H66" s="4">
        <v>4036.35</v>
      </c>
      <c r="I66" s="5">
        <v>0</v>
      </c>
      <c r="J66" s="5">
        <v>726.41</v>
      </c>
      <c r="K66" s="4">
        <v>4762.76</v>
      </c>
      <c r="L66" s="5">
        <v>2563.56</v>
      </c>
      <c r="M66" s="4">
        <v>1520.24</v>
      </c>
      <c r="N66" s="4">
        <v>519.08</v>
      </c>
      <c r="O66" s="5">
        <v>2039.32</v>
      </c>
      <c r="P66" s="4">
        <v>524.24</v>
      </c>
      <c r="Q66" s="4">
        <v>79.55031284619827</v>
      </c>
      <c r="R66" s="38"/>
    </row>
    <row r="67" spans="1:18" ht="14.25">
      <c r="A67" s="24" t="s">
        <v>32</v>
      </c>
      <c r="B67" s="4">
        <v>5336.55</v>
      </c>
      <c r="C67" s="4">
        <v>47.89</v>
      </c>
      <c r="D67" s="4">
        <v>5384.44</v>
      </c>
      <c r="E67" s="4">
        <v>507.22</v>
      </c>
      <c r="F67" s="4">
        <v>798.81</v>
      </c>
      <c r="G67" s="4">
        <v>973.01</v>
      </c>
      <c r="H67" s="4">
        <v>2279.04</v>
      </c>
      <c r="I67" s="5">
        <v>0.04</v>
      </c>
      <c r="J67" s="5">
        <v>2680.83</v>
      </c>
      <c r="K67" s="4">
        <v>4959.91</v>
      </c>
      <c r="L67" s="5">
        <v>424.53</v>
      </c>
      <c r="M67" s="4">
        <v>297.42</v>
      </c>
      <c r="N67" s="4">
        <v>96.7</v>
      </c>
      <c r="O67" s="5">
        <v>394.12</v>
      </c>
      <c r="P67" s="4">
        <v>30.410000000000366</v>
      </c>
      <c r="Q67" s="4">
        <v>92.83678420841865</v>
      </c>
      <c r="R67" s="38"/>
    </row>
    <row r="68" spans="1:18" ht="14.25">
      <c r="A68" s="24" t="s">
        <v>33</v>
      </c>
      <c r="B68" s="4">
        <v>6851.67</v>
      </c>
      <c r="C68" s="4">
        <v>128.89</v>
      </c>
      <c r="D68" s="4">
        <v>6980.56</v>
      </c>
      <c r="E68" s="4">
        <v>2102.74</v>
      </c>
      <c r="F68" s="4">
        <v>993.43</v>
      </c>
      <c r="G68" s="4">
        <v>800.04</v>
      </c>
      <c r="H68" s="4">
        <v>3896.21</v>
      </c>
      <c r="I68" s="5">
        <v>491.31</v>
      </c>
      <c r="J68" s="5">
        <v>873.94</v>
      </c>
      <c r="K68" s="4">
        <v>5261.46</v>
      </c>
      <c r="L68" s="5">
        <v>1719.1</v>
      </c>
      <c r="M68" s="4">
        <v>939.04</v>
      </c>
      <c r="N68" s="4">
        <v>230.43</v>
      </c>
      <c r="O68" s="5">
        <v>1169.47</v>
      </c>
      <c r="P68" s="4">
        <v>549.63</v>
      </c>
      <c r="Q68" s="4">
        <v>68.02803792682217</v>
      </c>
      <c r="R68" s="38"/>
    </row>
    <row r="69" spans="1:18" ht="14.25">
      <c r="A69" s="24" t="s">
        <v>34</v>
      </c>
      <c r="B69" s="4">
        <v>4127.89</v>
      </c>
      <c r="C69" s="4">
        <v>135.56</v>
      </c>
      <c r="D69" s="4">
        <v>4263.45</v>
      </c>
      <c r="E69" s="4">
        <v>1171.74</v>
      </c>
      <c r="F69" s="4">
        <v>410.7</v>
      </c>
      <c r="G69" s="4">
        <v>754.75</v>
      </c>
      <c r="H69" s="4">
        <v>2337.19</v>
      </c>
      <c r="I69" s="5">
        <v>72.25</v>
      </c>
      <c r="J69" s="5">
        <v>799.32</v>
      </c>
      <c r="K69" s="4">
        <v>3208.76</v>
      </c>
      <c r="L69" s="5">
        <v>1054.69</v>
      </c>
      <c r="M69" s="4">
        <v>215.14</v>
      </c>
      <c r="N69" s="4">
        <v>215.93</v>
      </c>
      <c r="O69" s="5">
        <v>431.07</v>
      </c>
      <c r="P69" s="4">
        <v>623.62</v>
      </c>
      <c r="Q69" s="4">
        <v>40.871725341095484</v>
      </c>
      <c r="R69" s="38"/>
    </row>
    <row r="70" spans="1:18" ht="15">
      <c r="A70" s="21" t="s">
        <v>35</v>
      </c>
      <c r="B70" s="28">
        <v>254273.5</v>
      </c>
      <c r="C70" s="28">
        <v>18145.13</v>
      </c>
      <c r="D70" s="28">
        <v>272418.63</v>
      </c>
      <c r="E70" s="28">
        <v>72614.49</v>
      </c>
      <c r="F70" s="28">
        <v>54490.43</v>
      </c>
      <c r="G70" s="28">
        <v>36431.66</v>
      </c>
      <c r="H70" s="28">
        <v>163536.58</v>
      </c>
      <c r="I70" s="29">
        <v>12310.72</v>
      </c>
      <c r="J70" s="29">
        <v>55188.74</v>
      </c>
      <c r="K70" s="28">
        <v>231036.04</v>
      </c>
      <c r="L70" s="29">
        <v>41382.590000000055</v>
      </c>
      <c r="M70" s="28">
        <v>21123.51</v>
      </c>
      <c r="N70" s="28">
        <v>7439.86</v>
      </c>
      <c r="O70" s="29">
        <v>28563.37</v>
      </c>
      <c r="P70" s="28">
        <v>12819.220000000056</v>
      </c>
      <c r="Q70" s="8">
        <v>69.02267354459923</v>
      </c>
      <c r="R70" s="38"/>
    </row>
    <row r="71" spans="1:18" ht="12.7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62"/>
    </row>
    <row r="72" spans="1:18" ht="12.75">
      <c r="A72" s="30"/>
      <c r="B72" s="30"/>
      <c r="C72" s="30"/>
      <c r="D72" s="30"/>
      <c r="E72" s="30"/>
      <c r="F72" s="30"/>
      <c r="G72" s="30"/>
      <c r="H72" s="31"/>
      <c r="I72" s="32"/>
      <c r="J72" s="32"/>
      <c r="K72" s="30"/>
      <c r="L72" s="32"/>
      <c r="M72" s="30"/>
      <c r="N72" s="30"/>
      <c r="O72" s="32"/>
      <c r="P72" s="30"/>
      <c r="Q72" s="30"/>
      <c r="R72" s="62"/>
    </row>
    <row r="73" spans="1:18" ht="12.75">
      <c r="A73" s="30"/>
      <c r="B73" s="30"/>
      <c r="C73" s="30"/>
      <c r="D73" s="30"/>
      <c r="E73" s="30"/>
      <c r="F73" s="30"/>
      <c r="G73" s="30"/>
      <c r="H73" s="30"/>
      <c r="I73" s="32"/>
      <c r="J73" s="32"/>
      <c r="K73" s="30"/>
      <c r="L73" s="32"/>
      <c r="M73" s="30"/>
      <c r="N73" s="30"/>
      <c r="O73" s="32"/>
      <c r="P73" s="30"/>
      <c r="Q73" s="30"/>
      <c r="R73" s="62"/>
    </row>
    <row r="74" spans="1:18" ht="14.25">
      <c r="A74" s="30"/>
      <c r="B74" s="30"/>
      <c r="C74" s="30"/>
      <c r="D74" s="30"/>
      <c r="E74" s="30"/>
      <c r="F74" s="30"/>
      <c r="G74" s="30"/>
      <c r="H74" s="30"/>
      <c r="I74" s="32"/>
      <c r="J74" s="32"/>
      <c r="K74" s="30"/>
      <c r="L74" s="32"/>
      <c r="M74" s="30"/>
      <c r="N74" s="30"/>
      <c r="O74" s="33"/>
      <c r="P74" s="34" t="s">
        <v>64</v>
      </c>
      <c r="Q74" s="30"/>
      <c r="R74" s="62"/>
    </row>
    <row r="75" spans="1:18" ht="18">
      <c r="A75" s="157" t="s">
        <v>65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62"/>
    </row>
    <row r="76" spans="1:17" ht="18">
      <c r="A76" s="157" t="s">
        <v>63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1:17" ht="15.75">
      <c r="A77" s="158" t="s">
        <v>2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1:18" ht="12.75">
      <c r="A78" s="147" t="s">
        <v>3</v>
      </c>
      <c r="B78" s="153" t="s">
        <v>4</v>
      </c>
      <c r="C78" s="153" t="s">
        <v>5</v>
      </c>
      <c r="D78" s="153" t="s">
        <v>6</v>
      </c>
      <c r="E78" s="152" t="s">
        <v>7</v>
      </c>
      <c r="F78" s="152"/>
      <c r="G78" s="152"/>
      <c r="H78" s="153" t="s">
        <v>8</v>
      </c>
      <c r="I78" s="146" t="s">
        <v>9</v>
      </c>
      <c r="J78" s="146" t="s">
        <v>38</v>
      </c>
      <c r="K78" s="150" t="s">
        <v>11</v>
      </c>
      <c r="L78" s="146" t="s">
        <v>39</v>
      </c>
      <c r="M78" s="147" t="s">
        <v>13</v>
      </c>
      <c r="N78" s="147" t="s">
        <v>14</v>
      </c>
      <c r="O78" s="146" t="s">
        <v>15</v>
      </c>
      <c r="P78" s="147" t="s">
        <v>16</v>
      </c>
      <c r="Q78" s="147" t="s">
        <v>17</v>
      </c>
      <c r="R78" s="148" t="s">
        <v>82</v>
      </c>
    </row>
    <row r="79" spans="1:18" ht="72.75" customHeight="1">
      <c r="A79" s="147"/>
      <c r="B79" s="155"/>
      <c r="C79" s="156"/>
      <c r="D79" s="154"/>
      <c r="E79" s="19" t="s">
        <v>18</v>
      </c>
      <c r="F79" s="19" t="s">
        <v>19</v>
      </c>
      <c r="G79" s="19" t="s">
        <v>20</v>
      </c>
      <c r="H79" s="170"/>
      <c r="I79" s="146"/>
      <c r="J79" s="146"/>
      <c r="K79" s="151"/>
      <c r="L79" s="146"/>
      <c r="M79" s="147"/>
      <c r="N79" s="147"/>
      <c r="O79" s="146"/>
      <c r="P79" s="147"/>
      <c r="Q79" s="147"/>
      <c r="R79" s="149"/>
    </row>
    <row r="80" spans="1:18" ht="14.25">
      <c r="A80" s="20" t="s">
        <v>66</v>
      </c>
      <c r="B80" s="4">
        <v>115902.03</v>
      </c>
      <c r="C80" s="4">
        <v>5195.21</v>
      </c>
      <c r="D80" s="4">
        <v>121097.24</v>
      </c>
      <c r="E80" s="4">
        <v>30406.9</v>
      </c>
      <c r="F80" s="4">
        <v>29629.61</v>
      </c>
      <c r="G80" s="4">
        <v>19078.69</v>
      </c>
      <c r="H80" s="4">
        <v>79115.2</v>
      </c>
      <c r="I80" s="5">
        <v>7785.95</v>
      </c>
      <c r="J80" s="5">
        <v>27333.4</v>
      </c>
      <c r="K80" s="4">
        <v>114234.55</v>
      </c>
      <c r="L80" s="5">
        <v>6862.690000000017</v>
      </c>
      <c r="M80" s="4">
        <v>4326.37</v>
      </c>
      <c r="N80" s="4">
        <v>897.99</v>
      </c>
      <c r="O80" s="5">
        <v>5224.36</v>
      </c>
      <c r="P80" s="4">
        <v>1638.3300000000163</v>
      </c>
      <c r="Q80" s="4">
        <v>76.12699976248362</v>
      </c>
      <c r="R80" s="39"/>
    </row>
    <row r="81" spans="1:18" ht="14.25">
      <c r="A81" s="20" t="s">
        <v>67</v>
      </c>
      <c r="B81" s="4">
        <v>4537.24</v>
      </c>
      <c r="C81" s="4">
        <v>3.57</v>
      </c>
      <c r="D81" s="4">
        <v>4540.81</v>
      </c>
      <c r="E81" s="4">
        <v>673.42</v>
      </c>
      <c r="F81" s="4">
        <v>1732</v>
      </c>
      <c r="G81" s="4">
        <v>788.8</v>
      </c>
      <c r="H81" s="4">
        <v>3194.22</v>
      </c>
      <c r="I81" s="5">
        <v>1060.5</v>
      </c>
      <c r="J81" s="5">
        <v>219.25</v>
      </c>
      <c r="K81" s="4">
        <v>4473.97</v>
      </c>
      <c r="L81" s="5">
        <v>66.84000000000106</v>
      </c>
      <c r="M81" s="4">
        <v>47.75</v>
      </c>
      <c r="N81" s="4">
        <v>6.63</v>
      </c>
      <c r="O81" s="5">
        <v>54.38</v>
      </c>
      <c r="P81" s="4">
        <v>12.46000000000106</v>
      </c>
      <c r="Q81" s="4">
        <v>81.35846798324228</v>
      </c>
      <c r="R81" s="39"/>
    </row>
    <row r="82" spans="1:18" ht="14.25">
      <c r="A82" s="20" t="s">
        <v>68</v>
      </c>
      <c r="B82" s="4">
        <v>10539.2</v>
      </c>
      <c r="C82" s="4">
        <v>405.06</v>
      </c>
      <c r="D82" s="4">
        <v>10944.26</v>
      </c>
      <c r="E82" s="4">
        <v>7660.27</v>
      </c>
      <c r="F82" s="4">
        <v>513.37</v>
      </c>
      <c r="G82" s="4">
        <v>235.79</v>
      </c>
      <c r="H82" s="4">
        <v>8409.43</v>
      </c>
      <c r="I82" s="5">
        <v>170.64</v>
      </c>
      <c r="J82" s="5">
        <v>1364.85</v>
      </c>
      <c r="K82" s="4">
        <v>9944.92</v>
      </c>
      <c r="L82" s="5">
        <v>999.34</v>
      </c>
      <c r="M82" s="4">
        <v>759.05</v>
      </c>
      <c r="N82" s="4">
        <v>25.13</v>
      </c>
      <c r="O82" s="5">
        <v>784.18</v>
      </c>
      <c r="P82" s="4">
        <v>215.16</v>
      </c>
      <c r="Q82" s="4">
        <v>78.46979006144056</v>
      </c>
      <c r="R82" s="38"/>
    </row>
    <row r="83" spans="1:18" ht="14.25">
      <c r="A83" s="20" t="s">
        <v>69</v>
      </c>
      <c r="B83" s="4">
        <v>1596.22</v>
      </c>
      <c r="C83" s="4">
        <v>46.21</v>
      </c>
      <c r="D83" s="4">
        <v>1642.43</v>
      </c>
      <c r="E83" s="4">
        <v>754.67</v>
      </c>
      <c r="F83" s="4">
        <v>171.16</v>
      </c>
      <c r="G83" s="4">
        <v>39.04</v>
      </c>
      <c r="H83" s="4">
        <v>964.87</v>
      </c>
      <c r="I83" s="5">
        <v>21.46</v>
      </c>
      <c r="J83" s="5">
        <v>193.89</v>
      </c>
      <c r="K83" s="4">
        <v>1180.22</v>
      </c>
      <c r="L83" s="5">
        <v>462.21</v>
      </c>
      <c r="M83" s="4">
        <v>206.99</v>
      </c>
      <c r="N83" s="4">
        <v>57.55</v>
      </c>
      <c r="O83" s="5">
        <v>264.54</v>
      </c>
      <c r="P83" s="4">
        <v>197.67</v>
      </c>
      <c r="Q83" s="4">
        <v>57.23372493022658</v>
      </c>
      <c r="R83" s="38"/>
    </row>
    <row r="84" spans="1:18" ht="14.25">
      <c r="A84" s="20" t="s">
        <v>70</v>
      </c>
      <c r="B84" s="4">
        <v>1875.07</v>
      </c>
      <c r="C84" s="4">
        <v>82.24</v>
      </c>
      <c r="D84" s="4">
        <v>1957.31</v>
      </c>
      <c r="E84" s="4">
        <v>260.39</v>
      </c>
      <c r="F84" s="4">
        <v>340.89</v>
      </c>
      <c r="G84" s="4">
        <v>201.96</v>
      </c>
      <c r="H84" s="4">
        <v>803.24</v>
      </c>
      <c r="I84" s="5">
        <v>0.31</v>
      </c>
      <c r="J84" s="5">
        <v>593.01</v>
      </c>
      <c r="K84" s="4">
        <v>1396.56</v>
      </c>
      <c r="L84" s="5">
        <v>560.75</v>
      </c>
      <c r="M84" s="4">
        <v>317.36</v>
      </c>
      <c r="N84" s="4">
        <v>113.55</v>
      </c>
      <c r="O84" s="5">
        <v>430.91</v>
      </c>
      <c r="P84" s="4">
        <v>129.84</v>
      </c>
      <c r="Q84" s="4">
        <v>76.84529647793138</v>
      </c>
      <c r="R84" s="38"/>
    </row>
    <row r="85" spans="1:18" ht="14.25">
      <c r="A85" s="20" t="s">
        <v>71</v>
      </c>
      <c r="B85" s="4">
        <v>1489.44</v>
      </c>
      <c r="C85" s="4">
        <v>0</v>
      </c>
      <c r="D85" s="4">
        <v>1489.44</v>
      </c>
      <c r="E85" s="4">
        <v>1462.26</v>
      </c>
      <c r="F85" s="4">
        <v>18.42</v>
      </c>
      <c r="G85" s="4">
        <v>0</v>
      </c>
      <c r="H85" s="4">
        <v>1480.68</v>
      </c>
      <c r="I85" s="5">
        <v>0</v>
      </c>
      <c r="J85" s="5">
        <v>0</v>
      </c>
      <c r="K85" s="4">
        <v>1480.68</v>
      </c>
      <c r="L85" s="5">
        <v>8.760000000000218</v>
      </c>
      <c r="M85" s="4">
        <v>0.04</v>
      </c>
      <c r="N85" s="4">
        <v>0</v>
      </c>
      <c r="O85" s="5">
        <v>0.04</v>
      </c>
      <c r="P85" s="4">
        <v>8.72000000000022</v>
      </c>
      <c r="Q85" s="4">
        <v>0.45662100456619864</v>
      </c>
      <c r="R85" s="38"/>
    </row>
    <row r="86" spans="1:18" ht="14.25">
      <c r="A86" s="20" t="s">
        <v>72</v>
      </c>
      <c r="B86" s="4">
        <v>13445.45</v>
      </c>
      <c r="C86" s="4">
        <v>806.64</v>
      </c>
      <c r="D86" s="4">
        <v>14252.09</v>
      </c>
      <c r="E86" s="4">
        <v>2649.82</v>
      </c>
      <c r="F86" s="4">
        <v>1342.65</v>
      </c>
      <c r="G86" s="4">
        <v>394.88</v>
      </c>
      <c r="H86" s="4">
        <v>4387.35</v>
      </c>
      <c r="I86" s="5">
        <v>52.8</v>
      </c>
      <c r="J86" s="5">
        <v>5587.93</v>
      </c>
      <c r="K86" s="4">
        <v>10028.08</v>
      </c>
      <c r="L86" s="5">
        <v>4224.01</v>
      </c>
      <c r="M86" s="4">
        <v>1687.97</v>
      </c>
      <c r="N86" s="4">
        <v>1761.06</v>
      </c>
      <c r="O86" s="5">
        <v>3449.03</v>
      </c>
      <c r="P86" s="4">
        <v>774.98</v>
      </c>
      <c r="Q86" s="4">
        <v>81.65297904124282</v>
      </c>
      <c r="R86" s="38"/>
    </row>
    <row r="87" spans="1:18" ht="14.25">
      <c r="A87" s="35" t="s">
        <v>73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5">
        <v>0</v>
      </c>
      <c r="J87" s="5">
        <v>0</v>
      </c>
      <c r="K87" s="4">
        <v>0</v>
      </c>
      <c r="L87" s="5">
        <v>0</v>
      </c>
      <c r="M87" s="4">
        <v>0</v>
      </c>
      <c r="N87" s="4">
        <v>0</v>
      </c>
      <c r="O87" s="5">
        <v>0</v>
      </c>
      <c r="P87" s="4">
        <v>0</v>
      </c>
      <c r="Q87" s="4">
        <v>0</v>
      </c>
      <c r="R87" s="38"/>
    </row>
    <row r="88" spans="1:18" ht="15">
      <c r="A88" s="21" t="s">
        <v>35</v>
      </c>
      <c r="B88" s="8">
        <v>149384.65</v>
      </c>
      <c r="C88" s="8">
        <v>6538.93</v>
      </c>
      <c r="D88" s="8">
        <v>155923.58</v>
      </c>
      <c r="E88" s="8">
        <v>43867.73</v>
      </c>
      <c r="F88" s="8">
        <v>33748.1</v>
      </c>
      <c r="G88" s="8">
        <v>20739.16</v>
      </c>
      <c r="H88" s="8">
        <v>98354.99</v>
      </c>
      <c r="I88" s="9">
        <v>9091.66</v>
      </c>
      <c r="J88" s="9">
        <v>35292.33</v>
      </c>
      <c r="K88" s="8">
        <v>142738.98</v>
      </c>
      <c r="L88" s="9">
        <v>13184.6</v>
      </c>
      <c r="M88" s="8">
        <v>7345.53</v>
      </c>
      <c r="N88" s="8">
        <v>2861.91</v>
      </c>
      <c r="O88" s="9">
        <v>10207.44</v>
      </c>
      <c r="P88" s="8">
        <v>2977.160000000016</v>
      </c>
      <c r="Q88" s="8">
        <v>77.4194135582421</v>
      </c>
      <c r="R88" s="38"/>
    </row>
    <row r="89" spans="1:18" ht="14.25">
      <c r="A89" s="20" t="s">
        <v>74</v>
      </c>
      <c r="B89" s="4">
        <v>24872.1</v>
      </c>
      <c r="C89" s="4">
        <v>221.45</v>
      </c>
      <c r="D89" s="4">
        <v>25093.55</v>
      </c>
      <c r="E89" s="4">
        <v>2029.81</v>
      </c>
      <c r="F89" s="4">
        <v>2843.78</v>
      </c>
      <c r="G89" s="4">
        <v>11747.69</v>
      </c>
      <c r="H89" s="4">
        <v>16621.28</v>
      </c>
      <c r="I89" s="5">
        <v>449.55</v>
      </c>
      <c r="J89" s="5">
        <v>1748.14</v>
      </c>
      <c r="K89" s="4">
        <v>18818.97</v>
      </c>
      <c r="L89" s="5">
        <v>6274.58</v>
      </c>
      <c r="M89" s="4">
        <v>3121.8</v>
      </c>
      <c r="N89" s="4">
        <v>811.81</v>
      </c>
      <c r="O89" s="5">
        <v>3933.61</v>
      </c>
      <c r="P89" s="4">
        <v>2340.97</v>
      </c>
      <c r="Q89" s="4">
        <v>62.69120801711029</v>
      </c>
      <c r="R89" s="38"/>
    </row>
    <row r="90" spans="1:18" ht="14.25">
      <c r="A90" s="20" t="s">
        <v>75</v>
      </c>
      <c r="B90" s="4">
        <v>5380.18</v>
      </c>
      <c r="C90" s="4">
        <v>424.24</v>
      </c>
      <c r="D90" s="4">
        <v>5804.42</v>
      </c>
      <c r="E90" s="4">
        <v>335.94</v>
      </c>
      <c r="F90" s="4">
        <v>435.3</v>
      </c>
      <c r="G90" s="4">
        <v>14.54</v>
      </c>
      <c r="H90" s="4">
        <v>785.78</v>
      </c>
      <c r="I90" s="5">
        <v>3.9</v>
      </c>
      <c r="J90" s="5">
        <v>79.08</v>
      </c>
      <c r="K90" s="4">
        <v>868.76</v>
      </c>
      <c r="L90" s="5">
        <v>4935.66</v>
      </c>
      <c r="M90" s="4">
        <v>2489.27</v>
      </c>
      <c r="N90" s="4">
        <v>567.87</v>
      </c>
      <c r="O90" s="5">
        <v>3057.14</v>
      </c>
      <c r="P90" s="4">
        <v>1878.52</v>
      </c>
      <c r="Q90" s="4">
        <v>61.93984188538108</v>
      </c>
      <c r="R90" s="38"/>
    </row>
    <row r="91" spans="1:18" ht="14.25">
      <c r="A91" s="20" t="s">
        <v>76</v>
      </c>
      <c r="B91" s="4">
        <v>1842.92</v>
      </c>
      <c r="C91" s="4">
        <v>106.73</v>
      </c>
      <c r="D91" s="4">
        <v>1949.65</v>
      </c>
      <c r="E91" s="4">
        <v>721.83</v>
      </c>
      <c r="F91" s="4">
        <v>594.95</v>
      </c>
      <c r="G91" s="4">
        <v>88.95</v>
      </c>
      <c r="H91" s="4">
        <v>1405.73</v>
      </c>
      <c r="I91" s="5">
        <v>11.94</v>
      </c>
      <c r="J91" s="5">
        <v>88.2</v>
      </c>
      <c r="K91" s="4">
        <v>1505.87</v>
      </c>
      <c r="L91" s="5">
        <v>443.78</v>
      </c>
      <c r="M91" s="4">
        <v>195.43</v>
      </c>
      <c r="N91" s="4">
        <v>117.63</v>
      </c>
      <c r="O91" s="5">
        <v>313.06</v>
      </c>
      <c r="P91" s="4">
        <v>130.72</v>
      </c>
      <c r="Q91" s="4">
        <v>70.54396322502144</v>
      </c>
      <c r="R91" s="38"/>
    </row>
    <row r="92" spans="1:18" ht="14.25">
      <c r="A92" s="36" t="s">
        <v>77</v>
      </c>
      <c r="B92" s="4">
        <v>10814.73</v>
      </c>
      <c r="C92" s="4">
        <v>110.18</v>
      </c>
      <c r="D92" s="4">
        <v>10924.91</v>
      </c>
      <c r="E92" s="4">
        <v>5263.52</v>
      </c>
      <c r="F92" s="4">
        <v>1684.24</v>
      </c>
      <c r="G92" s="4">
        <v>979.38</v>
      </c>
      <c r="H92" s="4">
        <v>7927.14</v>
      </c>
      <c r="I92" s="5">
        <v>244.75</v>
      </c>
      <c r="J92" s="5">
        <v>1329</v>
      </c>
      <c r="K92" s="4">
        <v>9500.89</v>
      </c>
      <c r="L92" s="5">
        <v>1424.02</v>
      </c>
      <c r="M92" s="4">
        <v>938.03</v>
      </c>
      <c r="N92" s="4">
        <v>216.31</v>
      </c>
      <c r="O92" s="5">
        <v>1154.34</v>
      </c>
      <c r="P92" s="4">
        <v>269.6799999999987</v>
      </c>
      <c r="Q92" s="4">
        <v>81.06206373505998</v>
      </c>
      <c r="R92" s="38"/>
    </row>
    <row r="93" spans="1:18" ht="15">
      <c r="A93" s="21" t="s">
        <v>35</v>
      </c>
      <c r="B93" s="8">
        <v>42909.93</v>
      </c>
      <c r="C93" s="8">
        <v>862.6</v>
      </c>
      <c r="D93" s="8">
        <v>43772.53</v>
      </c>
      <c r="E93" s="8">
        <v>8351.1</v>
      </c>
      <c r="F93" s="8">
        <v>5558.27</v>
      </c>
      <c r="G93" s="8">
        <v>12830.56</v>
      </c>
      <c r="H93" s="8">
        <v>26739.93</v>
      </c>
      <c r="I93" s="9">
        <v>710.14</v>
      </c>
      <c r="J93" s="9">
        <v>3244.42</v>
      </c>
      <c r="K93" s="8">
        <v>30694.49</v>
      </c>
      <c r="L93" s="9">
        <v>13078.04</v>
      </c>
      <c r="M93" s="8">
        <v>6744.53</v>
      </c>
      <c r="N93" s="8">
        <v>1713.62</v>
      </c>
      <c r="O93" s="9">
        <v>8458.15</v>
      </c>
      <c r="P93" s="8">
        <v>4619.89</v>
      </c>
      <c r="Q93" s="8">
        <v>64.67444662961728</v>
      </c>
      <c r="R93" s="38"/>
    </row>
    <row r="94" spans="1:18" ht="14.25">
      <c r="A94" s="24" t="s">
        <v>78</v>
      </c>
      <c r="B94" s="4">
        <v>21147.03</v>
      </c>
      <c r="C94" s="4">
        <v>1277.62</v>
      </c>
      <c r="D94" s="4">
        <v>22424.65</v>
      </c>
      <c r="E94" s="4">
        <v>1028.74</v>
      </c>
      <c r="F94" s="4">
        <v>7797.32</v>
      </c>
      <c r="G94" s="4">
        <v>170.97</v>
      </c>
      <c r="H94" s="4">
        <v>8997.03</v>
      </c>
      <c r="I94" s="5">
        <v>280.88</v>
      </c>
      <c r="J94" s="5">
        <v>4232.39</v>
      </c>
      <c r="K94" s="4">
        <v>13510.3</v>
      </c>
      <c r="L94" s="5">
        <v>8914.35</v>
      </c>
      <c r="M94" s="4">
        <v>4206.73</v>
      </c>
      <c r="N94" s="4">
        <v>1480.07</v>
      </c>
      <c r="O94" s="5">
        <v>5686.8</v>
      </c>
      <c r="P94" s="4">
        <v>3227.55</v>
      </c>
      <c r="Q94" s="4">
        <v>63.793770717999635</v>
      </c>
      <c r="R94" s="38"/>
    </row>
    <row r="95" spans="1:18" ht="14.25">
      <c r="A95" s="20" t="s">
        <v>79</v>
      </c>
      <c r="B95" s="4">
        <v>40831.89</v>
      </c>
      <c r="C95" s="4">
        <v>9465.98</v>
      </c>
      <c r="D95" s="4">
        <v>50297.87</v>
      </c>
      <c r="E95" s="4">
        <v>19366.92</v>
      </c>
      <c r="F95" s="4">
        <v>7386.74</v>
      </c>
      <c r="G95" s="4">
        <v>2690.97</v>
      </c>
      <c r="H95" s="4">
        <v>29444.63</v>
      </c>
      <c r="I95" s="5">
        <v>2228.04</v>
      </c>
      <c r="J95" s="5">
        <v>12419.6</v>
      </c>
      <c r="K95" s="4">
        <v>44092.27</v>
      </c>
      <c r="L95" s="5">
        <v>6205.6</v>
      </c>
      <c r="M95" s="4">
        <v>2826.72</v>
      </c>
      <c r="N95" s="4">
        <v>1384.26</v>
      </c>
      <c r="O95" s="5">
        <v>4210.98</v>
      </c>
      <c r="P95" s="4">
        <v>1994.62</v>
      </c>
      <c r="Q95" s="4">
        <v>67.85774139486918</v>
      </c>
      <c r="R95" s="20"/>
    </row>
    <row r="96" spans="1:18" ht="15">
      <c r="A96" s="21" t="s">
        <v>35</v>
      </c>
      <c r="B96" s="8">
        <v>61978.92</v>
      </c>
      <c r="C96" s="8">
        <v>10743.6</v>
      </c>
      <c r="D96" s="8">
        <v>72722.52</v>
      </c>
      <c r="E96" s="8">
        <v>20395.66</v>
      </c>
      <c r="F96" s="8">
        <v>15184.06</v>
      </c>
      <c r="G96" s="8">
        <v>2861.94</v>
      </c>
      <c r="H96" s="8">
        <v>38441.66</v>
      </c>
      <c r="I96" s="9">
        <v>2508.92</v>
      </c>
      <c r="J96" s="9">
        <v>16651.99</v>
      </c>
      <c r="K96" s="8">
        <v>57602.57</v>
      </c>
      <c r="L96" s="9">
        <v>15119.95</v>
      </c>
      <c r="M96" s="8">
        <v>7033.45</v>
      </c>
      <c r="N96" s="8">
        <v>2864.33</v>
      </c>
      <c r="O96" s="9">
        <v>9897.78</v>
      </c>
      <c r="P96" s="8">
        <v>5222.170000000011</v>
      </c>
      <c r="Q96" s="8">
        <v>65.46172441046427</v>
      </c>
      <c r="R96" s="20"/>
    </row>
    <row r="97" spans="1:18" ht="15">
      <c r="A97" s="37" t="s">
        <v>80</v>
      </c>
      <c r="B97" s="8">
        <v>254273.5</v>
      </c>
      <c r="C97" s="8">
        <v>18145.13</v>
      </c>
      <c r="D97" s="8">
        <v>272418.63</v>
      </c>
      <c r="E97" s="8">
        <v>72614.49</v>
      </c>
      <c r="F97" s="8">
        <v>54490.43</v>
      </c>
      <c r="G97" s="8">
        <v>36431.66</v>
      </c>
      <c r="H97" s="8">
        <v>163536.58</v>
      </c>
      <c r="I97" s="9">
        <v>12310.72</v>
      </c>
      <c r="J97" s="9">
        <v>55188.74</v>
      </c>
      <c r="K97" s="8">
        <v>231036.04</v>
      </c>
      <c r="L97" s="9">
        <v>41382.59</v>
      </c>
      <c r="M97" s="8">
        <v>21123.51</v>
      </c>
      <c r="N97" s="8">
        <v>7439.86</v>
      </c>
      <c r="O97" s="9">
        <v>28563.37</v>
      </c>
      <c r="P97" s="8">
        <v>12819.22</v>
      </c>
      <c r="Q97" s="8">
        <v>69.02267354459927</v>
      </c>
      <c r="R97" s="20"/>
    </row>
    <row r="98" spans="1:17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</row>
    <row r="99" spans="1:17" ht="12.75">
      <c r="A99" s="167" t="s">
        <v>81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</row>
    <row r="100" spans="1:18" ht="18">
      <c r="A100" s="157" t="s">
        <v>84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26"/>
    </row>
    <row r="101" spans="1:18" ht="18">
      <c r="A101" s="157" t="s">
        <v>85</v>
      </c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26"/>
    </row>
    <row r="102" spans="1:18" ht="15.75">
      <c r="A102" s="158" t="s">
        <v>2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26"/>
    </row>
    <row r="103" spans="1:18" ht="12.75">
      <c r="A103" s="147" t="s">
        <v>3</v>
      </c>
      <c r="B103" s="153" t="s">
        <v>4</v>
      </c>
      <c r="C103" s="153" t="s">
        <v>5</v>
      </c>
      <c r="D103" s="153" t="s">
        <v>6</v>
      </c>
      <c r="E103" s="152" t="s">
        <v>7</v>
      </c>
      <c r="F103" s="152"/>
      <c r="G103" s="152"/>
      <c r="H103" s="153" t="s">
        <v>8</v>
      </c>
      <c r="I103" s="146" t="s">
        <v>9</v>
      </c>
      <c r="J103" s="146" t="s">
        <v>38</v>
      </c>
      <c r="K103" s="161" t="s">
        <v>11</v>
      </c>
      <c r="L103" s="146" t="s">
        <v>39</v>
      </c>
      <c r="M103" s="147" t="s">
        <v>13</v>
      </c>
      <c r="N103" s="147" t="s">
        <v>14</v>
      </c>
      <c r="O103" s="146" t="s">
        <v>15</v>
      </c>
      <c r="P103" s="147" t="s">
        <v>16</v>
      </c>
      <c r="Q103" s="147" t="s">
        <v>17</v>
      </c>
      <c r="R103" s="148" t="s">
        <v>82</v>
      </c>
    </row>
    <row r="104" spans="1:18" ht="64.5" customHeight="1">
      <c r="A104" s="147"/>
      <c r="B104" s="155"/>
      <c r="C104" s="156"/>
      <c r="D104" s="154"/>
      <c r="E104" s="19" t="s">
        <v>18</v>
      </c>
      <c r="F104" s="19" t="s">
        <v>19</v>
      </c>
      <c r="G104" s="19" t="s">
        <v>20</v>
      </c>
      <c r="H104" s="154"/>
      <c r="I104" s="146"/>
      <c r="J104" s="146"/>
      <c r="K104" s="162"/>
      <c r="L104" s="146"/>
      <c r="M104" s="147"/>
      <c r="N104" s="147"/>
      <c r="O104" s="146"/>
      <c r="P104" s="147"/>
      <c r="Q104" s="147"/>
      <c r="R104" s="149"/>
    </row>
    <row r="105" spans="1:18" ht="14.25">
      <c r="A105" s="3" t="s">
        <v>21</v>
      </c>
      <c r="B105" s="40">
        <v>0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">
        <v>0</v>
      </c>
      <c r="R105" s="4"/>
    </row>
    <row r="106" spans="1:18" ht="14.25">
      <c r="A106" s="3" t="s">
        <v>22</v>
      </c>
      <c r="B106" s="40">
        <v>10.24</v>
      </c>
      <c r="C106" s="40">
        <v>0</v>
      </c>
      <c r="D106" s="40">
        <v>10.24</v>
      </c>
      <c r="E106" s="40">
        <v>4.02</v>
      </c>
      <c r="F106" s="40">
        <v>4.4</v>
      </c>
      <c r="G106" s="40">
        <v>0.06</v>
      </c>
      <c r="H106" s="40">
        <v>8.48</v>
      </c>
      <c r="I106" s="40">
        <v>0</v>
      </c>
      <c r="J106" s="40">
        <v>0</v>
      </c>
      <c r="K106" s="40">
        <v>8.48</v>
      </c>
      <c r="L106" s="40">
        <v>1.76</v>
      </c>
      <c r="M106" s="40">
        <v>1.76</v>
      </c>
      <c r="N106" s="40">
        <v>0</v>
      </c>
      <c r="O106" s="40">
        <v>1.76</v>
      </c>
      <c r="P106" s="40">
        <v>0</v>
      </c>
      <c r="Q106" s="4">
        <v>100</v>
      </c>
      <c r="R106" s="39"/>
    </row>
    <row r="107" spans="1:18" ht="14.25">
      <c r="A107" s="3" t="s">
        <v>23</v>
      </c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">
        <v>0</v>
      </c>
      <c r="R107" s="4"/>
    </row>
    <row r="108" spans="1:18" ht="14.25">
      <c r="A108" s="3" t="s">
        <v>24</v>
      </c>
      <c r="B108" s="40">
        <v>2.7</v>
      </c>
      <c r="C108" s="40">
        <v>0</v>
      </c>
      <c r="D108" s="40">
        <v>2.7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2.7</v>
      </c>
      <c r="M108" s="40">
        <v>2.7</v>
      </c>
      <c r="N108" s="40">
        <v>0</v>
      </c>
      <c r="O108" s="40">
        <v>2.7</v>
      </c>
      <c r="P108" s="40">
        <v>0</v>
      </c>
      <c r="Q108" s="4">
        <v>100</v>
      </c>
      <c r="R108" s="4"/>
    </row>
    <row r="109" spans="1:18" ht="14.25">
      <c r="A109" s="3" t="s">
        <v>25</v>
      </c>
      <c r="B109" s="40">
        <v>1.06</v>
      </c>
      <c r="C109" s="40">
        <v>0</v>
      </c>
      <c r="D109" s="40">
        <v>1.06</v>
      </c>
      <c r="E109" s="40">
        <v>0</v>
      </c>
      <c r="F109" s="40">
        <v>1.07</v>
      </c>
      <c r="G109" s="40">
        <v>0</v>
      </c>
      <c r="H109" s="40">
        <v>1.07</v>
      </c>
      <c r="I109" s="40">
        <v>0</v>
      </c>
      <c r="J109" s="40">
        <v>0</v>
      </c>
      <c r="K109" s="40">
        <v>1.07</v>
      </c>
      <c r="L109" s="40">
        <v>-0.01</v>
      </c>
      <c r="M109" s="40">
        <v>0</v>
      </c>
      <c r="N109" s="40">
        <v>0</v>
      </c>
      <c r="O109" s="40">
        <v>0</v>
      </c>
      <c r="P109" s="40">
        <v>-0.01</v>
      </c>
      <c r="Q109" s="4">
        <v>0</v>
      </c>
      <c r="R109" s="4"/>
    </row>
    <row r="110" spans="1:18" ht="14.25">
      <c r="A110" s="3" t="s">
        <v>26</v>
      </c>
      <c r="B110" s="40">
        <v>42.81</v>
      </c>
      <c r="C110" s="40">
        <v>0</v>
      </c>
      <c r="D110" s="40">
        <v>42.81</v>
      </c>
      <c r="E110" s="40">
        <v>0</v>
      </c>
      <c r="F110" s="40">
        <v>10.8</v>
      </c>
      <c r="G110" s="40">
        <v>0</v>
      </c>
      <c r="H110" s="40">
        <v>10.8</v>
      </c>
      <c r="I110" s="40">
        <v>0</v>
      </c>
      <c r="J110" s="40">
        <v>0</v>
      </c>
      <c r="K110" s="40">
        <v>10.8</v>
      </c>
      <c r="L110" s="40">
        <v>32.01</v>
      </c>
      <c r="M110" s="40">
        <v>19.66</v>
      </c>
      <c r="N110" s="40">
        <v>13.28</v>
      </c>
      <c r="O110" s="40">
        <v>32.94</v>
      </c>
      <c r="P110" s="40">
        <v>-0.9299999999999926</v>
      </c>
      <c r="Q110" s="4">
        <v>0</v>
      </c>
      <c r="R110" s="39"/>
    </row>
    <row r="111" spans="1:18" ht="14.25">
      <c r="A111" s="3" t="s">
        <v>27</v>
      </c>
      <c r="B111" s="40">
        <v>6.33</v>
      </c>
      <c r="C111" s="40">
        <v>0</v>
      </c>
      <c r="D111" s="40">
        <v>6.33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6.33</v>
      </c>
      <c r="M111" s="40">
        <v>0</v>
      </c>
      <c r="N111" s="40">
        <v>0</v>
      </c>
      <c r="O111" s="40">
        <v>0</v>
      </c>
      <c r="P111" s="40">
        <v>6.33</v>
      </c>
      <c r="Q111" s="4">
        <v>0</v>
      </c>
      <c r="R111" s="4"/>
    </row>
    <row r="112" spans="1:18" ht="14.25">
      <c r="A112" s="3" t="s">
        <v>28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">
        <v>0</v>
      </c>
      <c r="R112" s="4"/>
    </row>
    <row r="113" spans="1:18" ht="14.25">
      <c r="A113" s="3" t="s">
        <v>29</v>
      </c>
      <c r="B113" s="40">
        <v>3.98</v>
      </c>
      <c r="C113" s="40">
        <v>0</v>
      </c>
      <c r="D113" s="40">
        <v>3.98</v>
      </c>
      <c r="E113" s="40">
        <v>2.84</v>
      </c>
      <c r="F113" s="40">
        <v>0</v>
      </c>
      <c r="G113" s="40">
        <v>0</v>
      </c>
      <c r="H113" s="40">
        <v>2.84</v>
      </c>
      <c r="I113" s="40">
        <v>0</v>
      </c>
      <c r="J113" s="40">
        <v>0</v>
      </c>
      <c r="K113" s="40">
        <v>2.84</v>
      </c>
      <c r="L113" s="40">
        <v>1.14</v>
      </c>
      <c r="M113" s="40">
        <v>0</v>
      </c>
      <c r="N113" s="40">
        <v>0</v>
      </c>
      <c r="O113" s="40">
        <v>0</v>
      </c>
      <c r="P113" s="40">
        <v>1.14</v>
      </c>
      <c r="Q113" s="4">
        <v>0</v>
      </c>
      <c r="R113" s="4"/>
    </row>
    <row r="114" spans="1:18" ht="14.25">
      <c r="A114" s="3" t="s">
        <v>30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">
        <v>0</v>
      </c>
      <c r="R114" s="4"/>
    </row>
    <row r="115" spans="1:18" ht="14.25">
      <c r="A115" s="3" t="s">
        <v>31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">
        <v>0</v>
      </c>
      <c r="R115" s="38"/>
    </row>
    <row r="116" spans="1:18" ht="14.25">
      <c r="A116" s="3" t="s">
        <v>32</v>
      </c>
      <c r="B116" s="40">
        <v>26.46</v>
      </c>
      <c r="C116" s="40">
        <v>0</v>
      </c>
      <c r="D116" s="40">
        <v>26.46</v>
      </c>
      <c r="E116" s="40">
        <v>0</v>
      </c>
      <c r="F116" s="40">
        <v>26.46</v>
      </c>
      <c r="G116" s="40">
        <v>0</v>
      </c>
      <c r="H116" s="40">
        <v>26.46</v>
      </c>
      <c r="I116" s="40">
        <v>0</v>
      </c>
      <c r="J116" s="40">
        <v>0</v>
      </c>
      <c r="K116" s="40">
        <v>26.46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">
        <v>0</v>
      </c>
      <c r="R116" s="39"/>
    </row>
    <row r="117" spans="1:18" ht="14.25">
      <c r="A117" s="3" t="s">
        <v>33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">
        <v>0</v>
      </c>
      <c r="R117" s="4"/>
    </row>
    <row r="118" spans="1:18" ht="14.25">
      <c r="A118" s="3" t="s">
        <v>34</v>
      </c>
      <c r="B118" s="40">
        <v>0.2</v>
      </c>
      <c r="C118" s="40">
        <v>0</v>
      </c>
      <c r="D118" s="40">
        <v>0.2</v>
      </c>
      <c r="E118" s="40">
        <v>0.19</v>
      </c>
      <c r="F118" s="40">
        <v>0</v>
      </c>
      <c r="G118" s="40">
        <v>0</v>
      </c>
      <c r="H118" s="40">
        <v>0.19</v>
      </c>
      <c r="I118" s="40">
        <v>0</v>
      </c>
      <c r="J118" s="40">
        <v>0</v>
      </c>
      <c r="K118" s="40">
        <v>0.19</v>
      </c>
      <c r="L118" s="40">
        <v>0.01</v>
      </c>
      <c r="M118" s="40">
        <v>0</v>
      </c>
      <c r="N118" s="40">
        <v>0</v>
      </c>
      <c r="O118" s="40">
        <v>0</v>
      </c>
      <c r="P118" s="40">
        <v>0.01</v>
      </c>
      <c r="Q118" s="4">
        <v>0</v>
      </c>
      <c r="R118" s="4"/>
    </row>
    <row r="119" spans="1:18" ht="15">
      <c r="A119" s="7" t="s">
        <v>35</v>
      </c>
      <c r="B119" s="22">
        <v>93.78</v>
      </c>
      <c r="C119" s="22">
        <v>0</v>
      </c>
      <c r="D119" s="22">
        <v>93.78</v>
      </c>
      <c r="E119" s="22">
        <v>7.05</v>
      </c>
      <c r="F119" s="22">
        <v>42.73</v>
      </c>
      <c r="G119" s="22">
        <v>0.06</v>
      </c>
      <c r="H119" s="22">
        <v>49.84</v>
      </c>
      <c r="I119" s="41">
        <v>0</v>
      </c>
      <c r="J119" s="41">
        <v>0</v>
      </c>
      <c r="K119" s="41">
        <v>49.84</v>
      </c>
      <c r="L119" s="41">
        <v>43.94</v>
      </c>
      <c r="M119" s="22">
        <v>24.12</v>
      </c>
      <c r="N119" s="22">
        <v>13.28</v>
      </c>
      <c r="O119" s="41">
        <v>37.4</v>
      </c>
      <c r="P119" s="41">
        <v>6.540000000000013</v>
      </c>
      <c r="Q119" s="8">
        <v>85.11606736458805</v>
      </c>
      <c r="R119" s="39"/>
    </row>
    <row r="120" spans="9:18" ht="12.75">
      <c r="I120" s="33"/>
      <c r="J120" s="33"/>
      <c r="L120" s="33"/>
      <c r="O120" s="33"/>
      <c r="R120" s="26"/>
    </row>
    <row r="121" spans="1:18" ht="18">
      <c r="A121" s="157" t="s">
        <v>86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26"/>
    </row>
    <row r="122" spans="1:18" ht="18">
      <c r="A122" s="157" t="s">
        <v>87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26"/>
    </row>
    <row r="123" spans="1:18" ht="15.75">
      <c r="A123" s="158" t="s">
        <v>2</v>
      </c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26"/>
    </row>
    <row r="124" spans="1:18" ht="12.75">
      <c r="A124" s="147" t="s">
        <v>3</v>
      </c>
      <c r="B124" s="153" t="s">
        <v>4</v>
      </c>
      <c r="C124" s="153" t="s">
        <v>5</v>
      </c>
      <c r="D124" s="153" t="s">
        <v>6</v>
      </c>
      <c r="E124" s="152" t="s">
        <v>7</v>
      </c>
      <c r="F124" s="152"/>
      <c r="G124" s="152"/>
      <c r="H124" s="153" t="s">
        <v>8</v>
      </c>
      <c r="I124" s="146" t="s">
        <v>9</v>
      </c>
      <c r="J124" s="146" t="s">
        <v>38</v>
      </c>
      <c r="K124" s="150" t="s">
        <v>11</v>
      </c>
      <c r="L124" s="146" t="s">
        <v>39</v>
      </c>
      <c r="M124" s="147" t="s">
        <v>13</v>
      </c>
      <c r="N124" s="147" t="s">
        <v>14</v>
      </c>
      <c r="O124" s="146" t="s">
        <v>15</v>
      </c>
      <c r="P124" s="147" t="s">
        <v>16</v>
      </c>
      <c r="Q124" s="147" t="s">
        <v>17</v>
      </c>
      <c r="R124" s="148" t="s">
        <v>82</v>
      </c>
    </row>
    <row r="125" spans="1:18" ht="67.5" customHeight="1">
      <c r="A125" s="147"/>
      <c r="B125" s="155"/>
      <c r="C125" s="156"/>
      <c r="D125" s="154"/>
      <c r="E125" s="19" t="s">
        <v>18</v>
      </c>
      <c r="F125" s="19" t="s">
        <v>19</v>
      </c>
      <c r="G125" s="19" t="s">
        <v>20</v>
      </c>
      <c r="H125" s="154"/>
      <c r="I125" s="146"/>
      <c r="J125" s="146"/>
      <c r="K125" s="151"/>
      <c r="L125" s="146"/>
      <c r="M125" s="147"/>
      <c r="N125" s="147"/>
      <c r="O125" s="146"/>
      <c r="P125" s="147"/>
      <c r="Q125" s="147"/>
      <c r="R125" s="149"/>
    </row>
    <row r="126" spans="1:18" ht="14.25">
      <c r="A126" s="3" t="s">
        <v>21</v>
      </c>
      <c r="B126" s="40">
        <v>198.68</v>
      </c>
      <c r="C126" s="40">
        <v>11.01</v>
      </c>
      <c r="D126" s="40">
        <v>209.69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209.69</v>
      </c>
      <c r="M126" s="40">
        <v>193.16</v>
      </c>
      <c r="N126" s="40">
        <v>19.37</v>
      </c>
      <c r="O126" s="40">
        <v>212.53</v>
      </c>
      <c r="P126" s="40">
        <v>-2.84</v>
      </c>
      <c r="Q126" s="40">
        <v>101.35438027564501</v>
      </c>
      <c r="R126" s="163" t="s">
        <v>88</v>
      </c>
    </row>
    <row r="127" spans="1:18" ht="14.25">
      <c r="A127" s="3" t="s">
        <v>22</v>
      </c>
      <c r="B127" s="40">
        <v>130.2</v>
      </c>
      <c r="C127" s="40">
        <v>3.67</v>
      </c>
      <c r="D127" s="40">
        <v>133.87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133.87</v>
      </c>
      <c r="M127" s="40">
        <v>143.22</v>
      </c>
      <c r="N127" s="40">
        <v>11.66</v>
      </c>
      <c r="O127" s="40">
        <v>154.88</v>
      </c>
      <c r="P127" s="40">
        <v>-21.01</v>
      </c>
      <c r="Q127" s="40">
        <v>115.69433032046017</v>
      </c>
      <c r="R127" s="164"/>
    </row>
    <row r="128" spans="1:18" ht="14.25">
      <c r="A128" s="3" t="s">
        <v>23</v>
      </c>
      <c r="B128" s="40">
        <v>102.65</v>
      </c>
      <c r="C128" s="40">
        <v>0</v>
      </c>
      <c r="D128" s="40">
        <v>102.65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102.65</v>
      </c>
      <c r="M128" s="40">
        <v>115.16</v>
      </c>
      <c r="N128" s="40">
        <v>9.61</v>
      </c>
      <c r="O128" s="40">
        <v>124.77</v>
      </c>
      <c r="P128" s="40">
        <v>-22.12</v>
      </c>
      <c r="Q128" s="40">
        <v>121.54895275207014</v>
      </c>
      <c r="R128" s="164"/>
    </row>
    <row r="129" spans="1:18" ht="14.25">
      <c r="A129" s="3" t="s">
        <v>24</v>
      </c>
      <c r="B129" s="40">
        <v>101.83</v>
      </c>
      <c r="C129" s="40">
        <v>0</v>
      </c>
      <c r="D129" s="40">
        <v>101.83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1.33</v>
      </c>
      <c r="K129" s="40">
        <v>1.33</v>
      </c>
      <c r="L129" s="40">
        <v>100.5</v>
      </c>
      <c r="M129" s="40">
        <v>118.23</v>
      </c>
      <c r="N129" s="40">
        <v>10.86</v>
      </c>
      <c r="O129" s="40">
        <v>129.09</v>
      </c>
      <c r="P129" s="40">
        <v>-28.59</v>
      </c>
      <c r="Q129" s="40">
        <v>128.44776119402985</v>
      </c>
      <c r="R129" s="164"/>
    </row>
    <row r="130" spans="1:18" ht="14.25">
      <c r="A130" s="3" t="s">
        <v>25</v>
      </c>
      <c r="B130" s="40">
        <v>189.96</v>
      </c>
      <c r="C130" s="40">
        <v>7.02</v>
      </c>
      <c r="D130" s="40">
        <v>196.98</v>
      </c>
      <c r="E130" s="40">
        <v>0</v>
      </c>
      <c r="F130" s="40">
        <v>0.89</v>
      </c>
      <c r="G130" s="40">
        <v>0</v>
      </c>
      <c r="H130" s="40">
        <v>0.89</v>
      </c>
      <c r="I130" s="40">
        <v>0</v>
      </c>
      <c r="J130" s="40">
        <v>13.07</v>
      </c>
      <c r="K130" s="40">
        <v>13.96</v>
      </c>
      <c r="L130" s="40">
        <v>183.02</v>
      </c>
      <c r="M130" s="40">
        <v>185.96</v>
      </c>
      <c r="N130" s="40">
        <v>28.53</v>
      </c>
      <c r="O130" s="40">
        <v>214.49</v>
      </c>
      <c r="P130" s="40">
        <v>-31.47</v>
      </c>
      <c r="Q130" s="40">
        <v>117.19484209376026</v>
      </c>
      <c r="R130" s="164"/>
    </row>
    <row r="131" spans="1:18" ht="14.25">
      <c r="A131" s="3" t="s">
        <v>26</v>
      </c>
      <c r="B131" s="40">
        <v>163.1</v>
      </c>
      <c r="C131" s="40">
        <v>0</v>
      </c>
      <c r="D131" s="40">
        <v>163.1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163.1</v>
      </c>
      <c r="M131" s="40">
        <v>174.43</v>
      </c>
      <c r="N131" s="40">
        <v>12.66</v>
      </c>
      <c r="O131" s="40">
        <v>187.09</v>
      </c>
      <c r="P131" s="40">
        <v>-23.99</v>
      </c>
      <c r="Q131" s="40">
        <v>114.70876762722257</v>
      </c>
      <c r="R131" s="164"/>
    </row>
    <row r="132" spans="1:18" ht="14.25">
      <c r="A132" s="3" t="s">
        <v>27</v>
      </c>
      <c r="B132" s="40">
        <v>189.17</v>
      </c>
      <c r="C132" s="40">
        <v>9.08</v>
      </c>
      <c r="D132" s="40">
        <v>198.25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198.25</v>
      </c>
      <c r="M132" s="40">
        <v>200.99</v>
      </c>
      <c r="N132" s="40">
        <v>22.46</v>
      </c>
      <c r="O132" s="40">
        <v>223.45</v>
      </c>
      <c r="P132" s="40">
        <v>-25.2</v>
      </c>
      <c r="Q132" s="40">
        <v>112.71122320302649</v>
      </c>
      <c r="R132" s="164"/>
    </row>
    <row r="133" spans="1:18" ht="14.25">
      <c r="A133" s="3" t="s">
        <v>28</v>
      </c>
      <c r="B133" s="40">
        <v>161.71</v>
      </c>
      <c r="C133" s="40">
        <v>0</v>
      </c>
      <c r="D133" s="40">
        <v>161.71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161.71</v>
      </c>
      <c r="M133" s="40">
        <v>162.25</v>
      </c>
      <c r="N133" s="40">
        <v>0</v>
      </c>
      <c r="O133" s="40">
        <v>162.25</v>
      </c>
      <c r="P133" s="40">
        <v>-0.539999999999992</v>
      </c>
      <c r="Q133" s="40">
        <v>100.33393111124853</v>
      </c>
      <c r="R133" s="164"/>
    </row>
    <row r="134" spans="1:18" ht="14.25">
      <c r="A134" s="3" t="s">
        <v>29</v>
      </c>
      <c r="B134" s="40">
        <v>219.85</v>
      </c>
      <c r="C134" s="40">
        <v>0</v>
      </c>
      <c r="D134" s="40">
        <v>219.85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219.85</v>
      </c>
      <c r="M134" s="40">
        <v>242.88</v>
      </c>
      <c r="N134" s="40">
        <v>17.8</v>
      </c>
      <c r="O134" s="40">
        <v>260.68</v>
      </c>
      <c r="P134" s="40">
        <v>-40.83</v>
      </c>
      <c r="Q134" s="40">
        <v>118.57175346827383</v>
      </c>
      <c r="R134" s="164"/>
    </row>
    <row r="135" spans="1:18" ht="14.25">
      <c r="A135" s="3" t="s">
        <v>30</v>
      </c>
      <c r="B135" s="40">
        <v>208.3</v>
      </c>
      <c r="C135" s="40">
        <v>0</v>
      </c>
      <c r="D135" s="40">
        <v>208.3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208.3</v>
      </c>
      <c r="M135" s="40">
        <v>259.55</v>
      </c>
      <c r="N135" s="40">
        <v>13.39</v>
      </c>
      <c r="O135" s="40">
        <v>272.94</v>
      </c>
      <c r="P135" s="40">
        <v>-64.64</v>
      </c>
      <c r="Q135" s="40">
        <v>131.0321651464234</v>
      </c>
      <c r="R135" s="164"/>
    </row>
    <row r="136" spans="1:18" ht="14.25">
      <c r="A136" s="3" t="s">
        <v>31</v>
      </c>
      <c r="B136" s="40">
        <v>160.72</v>
      </c>
      <c r="C136" s="40">
        <v>0</v>
      </c>
      <c r="D136" s="40">
        <v>160.72</v>
      </c>
      <c r="E136" s="40">
        <v>0</v>
      </c>
      <c r="F136" s="40">
        <v>0</v>
      </c>
      <c r="G136" s="40">
        <v>0</v>
      </c>
      <c r="H136" s="40">
        <v>0</v>
      </c>
      <c r="I136" s="40">
        <v>4.07</v>
      </c>
      <c r="J136" s="40">
        <v>0</v>
      </c>
      <c r="K136" s="40">
        <v>4.07</v>
      </c>
      <c r="L136" s="40">
        <v>156.65</v>
      </c>
      <c r="M136" s="40">
        <v>166.81</v>
      </c>
      <c r="N136" s="40">
        <v>16.79</v>
      </c>
      <c r="O136" s="40">
        <v>183.6</v>
      </c>
      <c r="P136" s="40">
        <v>-26.95</v>
      </c>
      <c r="Q136" s="40">
        <v>117.20395786785826</v>
      </c>
      <c r="R136" s="164"/>
    </row>
    <row r="137" spans="1:18" ht="14.25">
      <c r="A137" s="3" t="s">
        <v>32</v>
      </c>
      <c r="B137" s="40">
        <v>108.56</v>
      </c>
      <c r="C137" s="40">
        <v>2.61</v>
      </c>
      <c r="D137" s="40">
        <v>111.17</v>
      </c>
      <c r="E137" s="40">
        <v>0</v>
      </c>
      <c r="F137" s="40">
        <v>0.62</v>
      </c>
      <c r="G137" s="40">
        <v>0</v>
      </c>
      <c r="H137" s="40">
        <v>0.62</v>
      </c>
      <c r="I137" s="40">
        <v>0</v>
      </c>
      <c r="J137" s="40">
        <v>0.22</v>
      </c>
      <c r="K137" s="40">
        <v>0.84</v>
      </c>
      <c r="L137" s="40">
        <v>110.33</v>
      </c>
      <c r="M137" s="40">
        <v>122.23</v>
      </c>
      <c r="N137" s="40">
        <v>7.24</v>
      </c>
      <c r="O137" s="40">
        <v>129.47</v>
      </c>
      <c r="P137" s="40">
        <v>-19.14</v>
      </c>
      <c r="Q137" s="40">
        <v>117.34795613160517</v>
      </c>
      <c r="R137" s="164"/>
    </row>
    <row r="138" spans="1:18" ht="14.25">
      <c r="A138" s="3" t="s">
        <v>33</v>
      </c>
      <c r="B138" s="40">
        <v>235.66</v>
      </c>
      <c r="C138" s="40">
        <v>0</v>
      </c>
      <c r="D138" s="40">
        <v>235.66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235.66</v>
      </c>
      <c r="M138" s="40">
        <v>259.28</v>
      </c>
      <c r="N138" s="40">
        <v>14.44</v>
      </c>
      <c r="O138" s="40">
        <v>273.72</v>
      </c>
      <c r="P138" s="40">
        <v>-38.06</v>
      </c>
      <c r="Q138" s="40">
        <v>116.15038614953745</v>
      </c>
      <c r="R138" s="164"/>
    </row>
    <row r="139" spans="1:18" ht="14.25">
      <c r="A139" s="3" t="s">
        <v>34</v>
      </c>
      <c r="B139" s="40">
        <v>164.57</v>
      </c>
      <c r="C139" s="40">
        <v>0</v>
      </c>
      <c r="D139" s="40">
        <v>164.57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14.25</v>
      </c>
      <c r="K139" s="40">
        <v>14.25</v>
      </c>
      <c r="L139" s="40">
        <v>150.32</v>
      </c>
      <c r="M139" s="40">
        <v>173.65</v>
      </c>
      <c r="N139" s="40">
        <v>13.76</v>
      </c>
      <c r="O139" s="40">
        <v>187.41</v>
      </c>
      <c r="P139" s="40">
        <v>-37.09</v>
      </c>
      <c r="Q139" s="40">
        <v>124.6740287386908</v>
      </c>
      <c r="R139" s="164"/>
    </row>
    <row r="140" spans="1:18" ht="15">
      <c r="A140" s="7" t="s">
        <v>35</v>
      </c>
      <c r="B140" s="22">
        <v>2334.96</v>
      </c>
      <c r="C140" s="22">
        <v>33.39</v>
      </c>
      <c r="D140" s="22">
        <v>2368.35</v>
      </c>
      <c r="E140" s="22">
        <v>0</v>
      </c>
      <c r="F140" s="22">
        <v>1.51</v>
      </c>
      <c r="G140" s="22">
        <v>0</v>
      </c>
      <c r="H140" s="22">
        <v>1.51</v>
      </c>
      <c r="I140" s="41">
        <v>4.07</v>
      </c>
      <c r="J140" s="41">
        <v>28.87</v>
      </c>
      <c r="K140" s="41">
        <v>34.45</v>
      </c>
      <c r="L140" s="41">
        <v>2333.9</v>
      </c>
      <c r="M140" s="22">
        <v>2517.8</v>
      </c>
      <c r="N140" s="22">
        <v>198.57</v>
      </c>
      <c r="O140" s="41">
        <v>2716.37</v>
      </c>
      <c r="P140" s="41">
        <v>-382.46999999999935</v>
      </c>
      <c r="Q140" s="41">
        <v>116.38759158490078</v>
      </c>
      <c r="R140" s="165"/>
    </row>
    <row r="141" spans="9:18" ht="12.75">
      <c r="I141" s="33"/>
      <c r="J141" s="33"/>
      <c r="L141" s="33"/>
      <c r="O141" s="33"/>
      <c r="R141" s="26"/>
    </row>
    <row r="142" spans="1:18" ht="18">
      <c r="A142" s="157" t="s">
        <v>84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26"/>
    </row>
    <row r="143" spans="1:18" ht="18">
      <c r="A143" s="157" t="s">
        <v>89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26"/>
    </row>
    <row r="144" spans="1:18" ht="15.75">
      <c r="A144" s="158" t="s">
        <v>2</v>
      </c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26"/>
    </row>
    <row r="145" spans="1:18" ht="12.75">
      <c r="A145" s="147" t="s">
        <v>3</v>
      </c>
      <c r="B145" s="153" t="s">
        <v>4</v>
      </c>
      <c r="C145" s="153" t="s">
        <v>5</v>
      </c>
      <c r="D145" s="153" t="s">
        <v>6</v>
      </c>
      <c r="E145" s="152" t="s">
        <v>7</v>
      </c>
      <c r="F145" s="152"/>
      <c r="G145" s="152"/>
      <c r="H145" s="153" t="s">
        <v>8</v>
      </c>
      <c r="I145" s="146" t="s">
        <v>9</v>
      </c>
      <c r="J145" s="146" t="s">
        <v>38</v>
      </c>
      <c r="K145" s="150" t="s">
        <v>11</v>
      </c>
      <c r="L145" s="146" t="s">
        <v>39</v>
      </c>
      <c r="M145" s="147" t="s">
        <v>13</v>
      </c>
      <c r="N145" s="147" t="s">
        <v>14</v>
      </c>
      <c r="O145" s="146" t="s">
        <v>15</v>
      </c>
      <c r="P145" s="147" t="s">
        <v>16</v>
      </c>
      <c r="Q145" s="147" t="s">
        <v>17</v>
      </c>
      <c r="R145" s="148" t="s">
        <v>82</v>
      </c>
    </row>
    <row r="146" spans="1:18" ht="67.5" customHeight="1">
      <c r="A146" s="147"/>
      <c r="B146" s="155"/>
      <c r="C146" s="156"/>
      <c r="D146" s="154"/>
      <c r="E146" s="19" t="s">
        <v>18</v>
      </c>
      <c r="F146" s="19" t="s">
        <v>19</v>
      </c>
      <c r="G146" s="19" t="s">
        <v>20</v>
      </c>
      <c r="H146" s="154"/>
      <c r="I146" s="146"/>
      <c r="J146" s="146"/>
      <c r="K146" s="151"/>
      <c r="L146" s="146"/>
      <c r="M146" s="147"/>
      <c r="N146" s="147"/>
      <c r="O146" s="146"/>
      <c r="P146" s="147"/>
      <c r="Q146" s="147"/>
      <c r="R146" s="149"/>
    </row>
    <row r="147" spans="1:18" ht="14.25">
      <c r="A147" s="20" t="s">
        <v>21</v>
      </c>
      <c r="B147" s="40">
        <v>2444.91</v>
      </c>
      <c r="C147" s="40">
        <v>0</v>
      </c>
      <c r="D147" s="40">
        <v>2444.91</v>
      </c>
      <c r="E147" s="40">
        <v>1266.17</v>
      </c>
      <c r="F147" s="40">
        <v>641.9</v>
      </c>
      <c r="G147" s="40">
        <v>0</v>
      </c>
      <c r="H147" s="40">
        <v>1908.07</v>
      </c>
      <c r="I147" s="40">
        <v>0</v>
      </c>
      <c r="J147" s="40">
        <v>260.7</v>
      </c>
      <c r="K147" s="40">
        <v>2168.77</v>
      </c>
      <c r="L147" s="40">
        <v>276.14</v>
      </c>
      <c r="M147" s="40">
        <v>96.91</v>
      </c>
      <c r="N147" s="40">
        <v>47.27</v>
      </c>
      <c r="O147" s="40">
        <v>144.18</v>
      </c>
      <c r="P147" s="40">
        <v>131.96</v>
      </c>
      <c r="Q147" s="40">
        <v>52.21264575939743</v>
      </c>
      <c r="R147" s="38"/>
    </row>
    <row r="148" spans="1:18" ht="14.25">
      <c r="A148" s="20" t="s">
        <v>22</v>
      </c>
      <c r="B148" s="40">
        <v>83.1</v>
      </c>
      <c r="C148" s="40">
        <v>0</v>
      </c>
      <c r="D148" s="40">
        <v>83.1</v>
      </c>
      <c r="E148" s="40">
        <v>39.66</v>
      </c>
      <c r="F148" s="40">
        <v>1.76</v>
      </c>
      <c r="G148" s="40">
        <v>18.16</v>
      </c>
      <c r="H148" s="40">
        <v>59.58</v>
      </c>
      <c r="I148" s="40">
        <v>0</v>
      </c>
      <c r="J148" s="40">
        <v>0</v>
      </c>
      <c r="K148" s="40">
        <v>59.58</v>
      </c>
      <c r="L148" s="40">
        <v>23.52</v>
      </c>
      <c r="M148" s="40">
        <v>1.58</v>
      </c>
      <c r="N148" s="40">
        <v>0.84</v>
      </c>
      <c r="O148" s="40">
        <v>2.42</v>
      </c>
      <c r="P148" s="40">
        <v>21.1</v>
      </c>
      <c r="Q148" s="40">
        <v>10.289115646258505</v>
      </c>
      <c r="R148" s="38"/>
    </row>
    <row r="149" spans="1:18" ht="14.25">
      <c r="A149" s="20" t="s">
        <v>23</v>
      </c>
      <c r="B149" s="40">
        <v>138.34</v>
      </c>
      <c r="C149" s="40">
        <v>0</v>
      </c>
      <c r="D149" s="40">
        <v>138.34</v>
      </c>
      <c r="E149" s="40">
        <v>17.87</v>
      </c>
      <c r="F149" s="40">
        <v>1.65</v>
      </c>
      <c r="G149" s="40">
        <v>4.06</v>
      </c>
      <c r="H149" s="40">
        <v>23.58</v>
      </c>
      <c r="I149" s="40">
        <v>0</v>
      </c>
      <c r="J149" s="40">
        <v>110.66</v>
      </c>
      <c r="K149" s="40">
        <v>134.24</v>
      </c>
      <c r="L149" s="40">
        <v>4.099999999999994</v>
      </c>
      <c r="M149" s="40">
        <v>1.46</v>
      </c>
      <c r="N149" s="40">
        <v>2.51</v>
      </c>
      <c r="O149" s="40">
        <v>3.97</v>
      </c>
      <c r="P149" s="40">
        <v>0.12999999999999456</v>
      </c>
      <c r="Q149" s="40">
        <v>96.82926829268305</v>
      </c>
      <c r="R149" s="38"/>
    </row>
    <row r="150" spans="1:18" ht="14.25">
      <c r="A150" s="20" t="s">
        <v>24</v>
      </c>
      <c r="B150" s="40">
        <v>72.35</v>
      </c>
      <c r="C150" s="40">
        <v>0</v>
      </c>
      <c r="D150" s="40">
        <v>72.35</v>
      </c>
      <c r="E150" s="40">
        <v>57.86</v>
      </c>
      <c r="F150" s="40">
        <v>8.7</v>
      </c>
      <c r="G150" s="40">
        <v>0</v>
      </c>
      <c r="H150" s="40">
        <v>66.56</v>
      </c>
      <c r="I150" s="40">
        <v>0</v>
      </c>
      <c r="J150" s="40">
        <v>0.45</v>
      </c>
      <c r="K150" s="40">
        <v>67.01</v>
      </c>
      <c r="L150" s="40">
        <v>5.339999999999989</v>
      </c>
      <c r="M150" s="40">
        <v>1.09</v>
      </c>
      <c r="N150" s="40">
        <v>0.2</v>
      </c>
      <c r="O150" s="40">
        <v>1.29</v>
      </c>
      <c r="P150" s="40">
        <v>4.049999999999989</v>
      </c>
      <c r="Q150" s="40">
        <v>24.15730337078657</v>
      </c>
      <c r="R150" s="38"/>
    </row>
    <row r="151" spans="1:18" ht="15">
      <c r="A151" s="42" t="s">
        <v>25</v>
      </c>
      <c r="B151" s="40">
        <v>108.72</v>
      </c>
      <c r="C151" s="40">
        <v>0</v>
      </c>
      <c r="D151" s="40">
        <v>108.72</v>
      </c>
      <c r="E151" s="40">
        <v>13.39</v>
      </c>
      <c r="F151" s="40">
        <v>52.36</v>
      </c>
      <c r="G151" s="40">
        <v>0</v>
      </c>
      <c r="H151" s="40">
        <v>65.75</v>
      </c>
      <c r="I151" s="40">
        <v>6.05</v>
      </c>
      <c r="J151" s="40">
        <v>34.13</v>
      </c>
      <c r="K151" s="40">
        <v>105.93</v>
      </c>
      <c r="L151" s="40">
        <v>2.789999999999992</v>
      </c>
      <c r="M151" s="40">
        <v>0.9</v>
      </c>
      <c r="N151" s="40">
        <v>0.12</v>
      </c>
      <c r="O151" s="40">
        <v>1.02</v>
      </c>
      <c r="P151" s="40">
        <v>1.769999999999992</v>
      </c>
      <c r="Q151" s="40">
        <v>36.559139784946346</v>
      </c>
      <c r="R151" s="43"/>
    </row>
    <row r="152" spans="1:18" ht="15">
      <c r="A152" s="42" t="s">
        <v>26</v>
      </c>
      <c r="B152" s="40">
        <v>25.25</v>
      </c>
      <c r="C152" s="40">
        <v>0</v>
      </c>
      <c r="D152" s="40">
        <v>25.25</v>
      </c>
      <c r="E152" s="40">
        <v>7.87</v>
      </c>
      <c r="F152" s="40">
        <v>2.03</v>
      </c>
      <c r="G152" s="40">
        <v>10.12</v>
      </c>
      <c r="H152" s="40">
        <v>20.02</v>
      </c>
      <c r="I152" s="40">
        <v>0.86</v>
      </c>
      <c r="J152" s="40">
        <v>0</v>
      </c>
      <c r="K152" s="40">
        <v>20.88</v>
      </c>
      <c r="L152" s="40">
        <v>4.37</v>
      </c>
      <c r="M152" s="40">
        <v>0.72</v>
      </c>
      <c r="N152" s="40">
        <v>0.03</v>
      </c>
      <c r="O152" s="40">
        <v>0.75</v>
      </c>
      <c r="P152" s="40">
        <v>3.62</v>
      </c>
      <c r="Q152" s="40">
        <v>17.162471395881003</v>
      </c>
      <c r="R152" s="43"/>
    </row>
    <row r="153" spans="1:18" ht="15">
      <c r="A153" s="42" t="s">
        <v>27</v>
      </c>
      <c r="B153" s="40">
        <v>336.12</v>
      </c>
      <c r="C153" s="40">
        <v>0</v>
      </c>
      <c r="D153" s="40">
        <v>336.12</v>
      </c>
      <c r="E153" s="40">
        <v>247.22</v>
      </c>
      <c r="F153" s="40">
        <v>18.17</v>
      </c>
      <c r="G153" s="40">
        <v>43</v>
      </c>
      <c r="H153" s="40">
        <v>308.39</v>
      </c>
      <c r="I153" s="40">
        <v>0.14</v>
      </c>
      <c r="J153" s="40">
        <v>1.08</v>
      </c>
      <c r="K153" s="40">
        <v>309.61</v>
      </c>
      <c r="L153" s="40">
        <v>26.51</v>
      </c>
      <c r="M153" s="40">
        <v>10.68</v>
      </c>
      <c r="N153" s="40">
        <v>0.03</v>
      </c>
      <c r="O153" s="40">
        <v>10.71</v>
      </c>
      <c r="P153" s="40">
        <v>15.8</v>
      </c>
      <c r="Q153" s="40">
        <v>40.39984911354198</v>
      </c>
      <c r="R153" s="39"/>
    </row>
    <row r="154" spans="1:18" ht="15">
      <c r="A154" s="42" t="s">
        <v>28</v>
      </c>
      <c r="B154" s="40">
        <v>504.34</v>
      </c>
      <c r="C154" s="40">
        <v>0</v>
      </c>
      <c r="D154" s="40">
        <v>504.34</v>
      </c>
      <c r="E154" s="40">
        <v>31.44</v>
      </c>
      <c r="F154" s="40">
        <v>467.52</v>
      </c>
      <c r="G154" s="40">
        <v>0</v>
      </c>
      <c r="H154" s="40">
        <v>498.96</v>
      </c>
      <c r="I154" s="40">
        <v>4.21</v>
      </c>
      <c r="J154" s="40">
        <v>1.17</v>
      </c>
      <c r="K154" s="40">
        <v>504.34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3"/>
    </row>
    <row r="155" spans="1:18" ht="15">
      <c r="A155" s="42" t="s">
        <v>29</v>
      </c>
      <c r="B155" s="40">
        <v>13.15</v>
      </c>
      <c r="C155" s="40">
        <v>0</v>
      </c>
      <c r="D155" s="40">
        <v>13.15</v>
      </c>
      <c r="E155" s="40">
        <v>2.57</v>
      </c>
      <c r="F155" s="40">
        <v>5.54</v>
      </c>
      <c r="G155" s="40">
        <v>0.12</v>
      </c>
      <c r="H155" s="40">
        <v>8.23</v>
      </c>
      <c r="I155" s="40">
        <v>4.91</v>
      </c>
      <c r="J155" s="40">
        <v>0</v>
      </c>
      <c r="K155" s="40">
        <v>13.14</v>
      </c>
      <c r="L155" s="40">
        <v>0.009999999999999787</v>
      </c>
      <c r="M155" s="40">
        <v>0</v>
      </c>
      <c r="N155" s="40">
        <v>0</v>
      </c>
      <c r="O155" s="40">
        <v>0</v>
      </c>
      <c r="P155" s="40">
        <v>0.009999999999999787</v>
      </c>
      <c r="Q155" s="40">
        <v>0</v>
      </c>
      <c r="R155" s="43"/>
    </row>
    <row r="156" spans="1:18" ht="15">
      <c r="A156" s="42" t="s">
        <v>30</v>
      </c>
      <c r="B156" s="40">
        <v>1.4</v>
      </c>
      <c r="C156" s="40">
        <v>0</v>
      </c>
      <c r="D156" s="40">
        <v>1.4</v>
      </c>
      <c r="E156" s="40">
        <v>1.1</v>
      </c>
      <c r="F156" s="40">
        <v>0</v>
      </c>
      <c r="G156" s="40">
        <v>0.26</v>
      </c>
      <c r="H156" s="40">
        <v>1.36</v>
      </c>
      <c r="I156" s="40">
        <v>0</v>
      </c>
      <c r="J156" s="40">
        <v>0</v>
      </c>
      <c r="K156" s="40">
        <v>1.36</v>
      </c>
      <c r="L156" s="40">
        <v>0.039999999999999813</v>
      </c>
      <c r="M156" s="40">
        <v>0.01</v>
      </c>
      <c r="N156" s="40">
        <v>0.03</v>
      </c>
      <c r="O156" s="40">
        <v>0.04</v>
      </c>
      <c r="P156" s="40">
        <v>-1.8735013540549517E-16</v>
      </c>
      <c r="Q156" s="40">
        <v>100</v>
      </c>
      <c r="R156" s="43"/>
    </row>
    <row r="157" spans="1:18" ht="15">
      <c r="A157" s="42" t="s">
        <v>31</v>
      </c>
      <c r="B157" s="40">
        <v>50.29</v>
      </c>
      <c r="C157" s="40">
        <v>0</v>
      </c>
      <c r="D157" s="40">
        <v>50.29</v>
      </c>
      <c r="E157" s="40">
        <v>14.18</v>
      </c>
      <c r="F157" s="40">
        <v>23.65</v>
      </c>
      <c r="G157" s="40">
        <v>0</v>
      </c>
      <c r="H157" s="40">
        <v>37.83</v>
      </c>
      <c r="I157" s="40">
        <v>9.75</v>
      </c>
      <c r="J157" s="40">
        <v>0</v>
      </c>
      <c r="K157" s="40">
        <v>47.58</v>
      </c>
      <c r="L157" s="40">
        <v>2.71</v>
      </c>
      <c r="M157" s="40">
        <v>0</v>
      </c>
      <c r="N157" s="40">
        <v>2.71</v>
      </c>
      <c r="O157" s="40">
        <v>2.71</v>
      </c>
      <c r="P157" s="40">
        <v>0</v>
      </c>
      <c r="Q157" s="40">
        <v>100</v>
      </c>
      <c r="R157" s="43"/>
    </row>
    <row r="158" spans="1:18" ht="15">
      <c r="A158" s="42" t="s">
        <v>32</v>
      </c>
      <c r="B158" s="40">
        <v>1.4</v>
      </c>
      <c r="C158" s="40">
        <v>0</v>
      </c>
      <c r="D158" s="40">
        <v>1.4</v>
      </c>
      <c r="E158" s="40">
        <v>0</v>
      </c>
      <c r="F158" s="40">
        <v>0.61</v>
      </c>
      <c r="G158" s="40">
        <v>0</v>
      </c>
      <c r="H158" s="40">
        <v>0.61</v>
      </c>
      <c r="I158" s="40">
        <v>0</v>
      </c>
      <c r="J158" s="40">
        <v>0</v>
      </c>
      <c r="K158" s="40">
        <v>0.61</v>
      </c>
      <c r="L158" s="40">
        <v>0.79</v>
      </c>
      <c r="M158" s="40">
        <v>0.79</v>
      </c>
      <c r="N158" s="40">
        <v>0</v>
      </c>
      <c r="O158" s="40">
        <v>0.79</v>
      </c>
      <c r="P158" s="40">
        <v>0</v>
      </c>
      <c r="Q158" s="40">
        <v>100</v>
      </c>
      <c r="R158" s="43"/>
    </row>
    <row r="159" spans="1:18" ht="15">
      <c r="A159" s="42" t="s">
        <v>33</v>
      </c>
      <c r="B159" s="40">
        <v>47.05</v>
      </c>
      <c r="C159" s="40">
        <v>0</v>
      </c>
      <c r="D159" s="40">
        <v>47.05</v>
      </c>
      <c r="E159" s="40">
        <v>3.64</v>
      </c>
      <c r="F159" s="40">
        <v>0</v>
      </c>
      <c r="G159" s="40">
        <v>0</v>
      </c>
      <c r="H159" s="40">
        <v>3.64</v>
      </c>
      <c r="I159" s="40">
        <v>0</v>
      </c>
      <c r="J159" s="40">
        <v>2.5</v>
      </c>
      <c r="K159" s="40">
        <v>6.14</v>
      </c>
      <c r="L159" s="40">
        <v>40.91</v>
      </c>
      <c r="M159" s="40">
        <v>2.13</v>
      </c>
      <c r="N159" s="40">
        <v>0</v>
      </c>
      <c r="O159" s="40">
        <v>2.13</v>
      </c>
      <c r="P159" s="40">
        <v>38.78</v>
      </c>
      <c r="Q159" s="40">
        <v>5.206550965534099</v>
      </c>
      <c r="R159" s="39"/>
    </row>
    <row r="160" spans="1:18" ht="15">
      <c r="A160" s="42" t="s">
        <v>34</v>
      </c>
      <c r="B160" s="40">
        <v>26.83</v>
      </c>
      <c r="C160" s="40">
        <v>0</v>
      </c>
      <c r="D160" s="40">
        <v>26.83</v>
      </c>
      <c r="E160" s="40">
        <v>2.79</v>
      </c>
      <c r="F160" s="40">
        <v>0</v>
      </c>
      <c r="G160" s="40">
        <v>23.33</v>
      </c>
      <c r="H160" s="40">
        <v>26.12</v>
      </c>
      <c r="I160" s="40">
        <v>0</v>
      </c>
      <c r="J160" s="40">
        <v>0</v>
      </c>
      <c r="K160" s="40">
        <v>26.12</v>
      </c>
      <c r="L160" s="40">
        <v>0.7100000000000009</v>
      </c>
      <c r="M160" s="40">
        <v>0.71</v>
      </c>
      <c r="N160" s="40">
        <v>0</v>
      </c>
      <c r="O160" s="40">
        <v>0.71</v>
      </c>
      <c r="P160" s="40">
        <v>8.881784197001252E-16</v>
      </c>
      <c r="Q160" s="40">
        <v>0</v>
      </c>
      <c r="R160" s="38"/>
    </row>
    <row r="161" spans="1:18" ht="15">
      <c r="A161" s="7" t="s">
        <v>35</v>
      </c>
      <c r="B161" s="22">
        <v>3853.25</v>
      </c>
      <c r="C161" s="22">
        <v>0</v>
      </c>
      <c r="D161" s="22">
        <v>3853.25</v>
      </c>
      <c r="E161" s="22">
        <v>1705.76</v>
      </c>
      <c r="F161" s="22">
        <v>1223.89</v>
      </c>
      <c r="G161" s="22">
        <v>99.05</v>
      </c>
      <c r="H161" s="22">
        <v>3028.7</v>
      </c>
      <c r="I161" s="41">
        <v>25.92</v>
      </c>
      <c r="J161" s="41">
        <v>410.69</v>
      </c>
      <c r="K161" s="41">
        <v>3465.31</v>
      </c>
      <c r="L161" s="41">
        <v>387.94</v>
      </c>
      <c r="M161" s="22">
        <v>116.98</v>
      </c>
      <c r="N161" s="22">
        <v>53.74</v>
      </c>
      <c r="O161" s="41">
        <v>170.72</v>
      </c>
      <c r="P161" s="41">
        <v>217.22</v>
      </c>
      <c r="Q161" s="41">
        <v>44.006805176058144</v>
      </c>
      <c r="R161" s="4"/>
    </row>
    <row r="162" spans="9:18" ht="12.75">
      <c r="I162" s="33"/>
      <c r="J162" s="33"/>
      <c r="L162" s="33"/>
      <c r="O162" s="33"/>
      <c r="R162" s="26"/>
    </row>
    <row r="163" spans="1:18" ht="18">
      <c r="A163" s="157" t="s">
        <v>84</v>
      </c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26"/>
    </row>
    <row r="164" spans="1:18" ht="18">
      <c r="A164" s="157" t="s">
        <v>90</v>
      </c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26"/>
    </row>
    <row r="165" spans="1:18" ht="15.75">
      <c r="A165" s="158" t="s">
        <v>2</v>
      </c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26"/>
    </row>
    <row r="166" spans="1:18" ht="12.75">
      <c r="A166" s="147" t="s">
        <v>3</v>
      </c>
      <c r="B166" s="153" t="s">
        <v>4</v>
      </c>
      <c r="C166" s="153" t="s">
        <v>5</v>
      </c>
      <c r="D166" s="153" t="s">
        <v>6</v>
      </c>
      <c r="E166" s="152" t="s">
        <v>7</v>
      </c>
      <c r="F166" s="152"/>
      <c r="G166" s="152"/>
      <c r="H166" s="153" t="s">
        <v>8</v>
      </c>
      <c r="I166" s="146" t="s">
        <v>9</v>
      </c>
      <c r="J166" s="146" t="s">
        <v>38</v>
      </c>
      <c r="K166" s="150" t="s">
        <v>11</v>
      </c>
      <c r="L166" s="146" t="s">
        <v>39</v>
      </c>
      <c r="M166" s="147" t="s">
        <v>13</v>
      </c>
      <c r="N166" s="147" t="s">
        <v>14</v>
      </c>
      <c r="O166" s="146" t="s">
        <v>15</v>
      </c>
      <c r="P166" s="147" t="s">
        <v>16</v>
      </c>
      <c r="Q166" s="147" t="s">
        <v>17</v>
      </c>
      <c r="R166" s="148" t="s">
        <v>82</v>
      </c>
    </row>
    <row r="167" spans="1:18" ht="67.5" customHeight="1">
      <c r="A167" s="147"/>
      <c r="B167" s="155"/>
      <c r="C167" s="156"/>
      <c r="D167" s="154"/>
      <c r="E167" s="19" t="s">
        <v>18</v>
      </c>
      <c r="F167" s="19" t="s">
        <v>19</v>
      </c>
      <c r="G167" s="19" t="s">
        <v>20</v>
      </c>
      <c r="H167" s="154"/>
      <c r="I167" s="146"/>
      <c r="J167" s="146"/>
      <c r="K167" s="151"/>
      <c r="L167" s="146"/>
      <c r="M167" s="147"/>
      <c r="N167" s="147"/>
      <c r="O167" s="146"/>
      <c r="P167" s="147"/>
      <c r="Q167" s="147"/>
      <c r="R167" s="149"/>
    </row>
    <row r="168" spans="1:18" ht="14.25">
      <c r="A168" s="20" t="s">
        <v>21</v>
      </c>
      <c r="B168" s="40">
        <v>97.51</v>
      </c>
      <c r="C168" s="40">
        <v>172.81</v>
      </c>
      <c r="D168" s="40">
        <v>270.32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270.32</v>
      </c>
      <c r="M168" s="40">
        <v>95.18</v>
      </c>
      <c r="N168" s="40">
        <v>172.81</v>
      </c>
      <c r="O168" s="40">
        <v>267.99</v>
      </c>
      <c r="P168" s="40">
        <v>2.329999999999984</v>
      </c>
      <c r="Q168" s="40">
        <v>99.13805859721812</v>
      </c>
      <c r="R168" s="38"/>
    </row>
    <row r="169" spans="1:18" ht="14.25">
      <c r="A169" s="20" t="s">
        <v>22</v>
      </c>
      <c r="B169" s="40">
        <v>429.13</v>
      </c>
      <c r="C169" s="40">
        <v>52.76</v>
      </c>
      <c r="D169" s="40">
        <v>481.89</v>
      </c>
      <c r="E169" s="40">
        <v>1.63</v>
      </c>
      <c r="F169" s="40">
        <v>21.97</v>
      </c>
      <c r="G169" s="40">
        <v>3.55</v>
      </c>
      <c r="H169" s="40">
        <v>27.15</v>
      </c>
      <c r="I169" s="40">
        <v>0.01</v>
      </c>
      <c r="J169" s="40">
        <v>0.52</v>
      </c>
      <c r="K169" s="40">
        <v>27.68</v>
      </c>
      <c r="L169" s="40">
        <v>454.21</v>
      </c>
      <c r="M169" s="40">
        <v>376.02</v>
      </c>
      <c r="N169" s="40">
        <v>46.12</v>
      </c>
      <c r="O169" s="40">
        <v>422.14</v>
      </c>
      <c r="P169" s="40">
        <v>32.07</v>
      </c>
      <c r="Q169" s="40">
        <v>92.93938926928072</v>
      </c>
      <c r="R169" s="38"/>
    </row>
    <row r="170" spans="1:18" ht="14.25">
      <c r="A170" s="20" t="s">
        <v>23</v>
      </c>
      <c r="B170" s="40">
        <v>394.8</v>
      </c>
      <c r="C170" s="40">
        <v>128.72</v>
      </c>
      <c r="D170" s="40">
        <v>523.52</v>
      </c>
      <c r="E170" s="40">
        <v>0.36</v>
      </c>
      <c r="F170" s="40">
        <v>0</v>
      </c>
      <c r="G170" s="40">
        <v>0</v>
      </c>
      <c r="H170" s="40">
        <v>0.36</v>
      </c>
      <c r="I170" s="40">
        <v>17.18</v>
      </c>
      <c r="J170" s="40">
        <v>0</v>
      </c>
      <c r="K170" s="40">
        <v>17.54</v>
      </c>
      <c r="L170" s="40">
        <v>505.98</v>
      </c>
      <c r="M170" s="40">
        <v>373.61</v>
      </c>
      <c r="N170" s="40">
        <v>129.86</v>
      </c>
      <c r="O170" s="40">
        <v>503.47</v>
      </c>
      <c r="P170" s="40">
        <v>2.509999999999934</v>
      </c>
      <c r="Q170" s="40">
        <v>99.50393296177715</v>
      </c>
      <c r="R170" s="38"/>
    </row>
    <row r="171" spans="1:17" ht="14.25">
      <c r="A171" s="20" t="s">
        <v>24</v>
      </c>
      <c r="B171" s="40">
        <v>108.16</v>
      </c>
      <c r="C171" s="40">
        <v>28.13</v>
      </c>
      <c r="D171" s="40">
        <v>136.29</v>
      </c>
      <c r="E171" s="40">
        <v>0.78</v>
      </c>
      <c r="F171" s="40">
        <v>0.81</v>
      </c>
      <c r="G171" s="40">
        <v>0</v>
      </c>
      <c r="H171" s="40">
        <v>1.59</v>
      </c>
      <c r="I171" s="40">
        <v>10</v>
      </c>
      <c r="J171" s="40">
        <v>0.33</v>
      </c>
      <c r="K171" s="40">
        <v>11.92</v>
      </c>
      <c r="L171" s="40">
        <v>124.37</v>
      </c>
      <c r="M171" s="40">
        <v>92.93</v>
      </c>
      <c r="N171" s="40">
        <v>29.44</v>
      </c>
      <c r="O171" s="40">
        <v>122.37</v>
      </c>
      <c r="P171" s="40">
        <v>1.9999999999999858</v>
      </c>
      <c r="Q171" s="40">
        <v>98.39189515156389</v>
      </c>
    </row>
    <row r="172" spans="1:18" ht="14.25">
      <c r="A172" s="20" t="s">
        <v>25</v>
      </c>
      <c r="B172" s="40">
        <v>128.35</v>
      </c>
      <c r="C172" s="40">
        <v>107.63</v>
      </c>
      <c r="D172" s="40">
        <v>235.98</v>
      </c>
      <c r="E172" s="40">
        <v>0</v>
      </c>
      <c r="F172" s="40">
        <v>0</v>
      </c>
      <c r="G172" s="40">
        <v>0.21</v>
      </c>
      <c r="H172" s="40">
        <v>0.21</v>
      </c>
      <c r="I172" s="40">
        <v>0</v>
      </c>
      <c r="J172" s="40">
        <v>0</v>
      </c>
      <c r="K172" s="40">
        <v>0.21</v>
      </c>
      <c r="L172" s="40">
        <v>235.77</v>
      </c>
      <c r="M172" s="40">
        <v>127.66</v>
      </c>
      <c r="N172" s="40">
        <v>107.98</v>
      </c>
      <c r="O172" s="40">
        <v>235.64</v>
      </c>
      <c r="P172" s="40">
        <v>0.12999999999999545</v>
      </c>
      <c r="Q172" s="40">
        <v>99.94486151758069</v>
      </c>
      <c r="R172" s="38"/>
    </row>
    <row r="173" spans="1:18" ht="14.25">
      <c r="A173" s="20" t="s">
        <v>26</v>
      </c>
      <c r="B173" s="40">
        <v>336.23</v>
      </c>
      <c r="C173" s="40">
        <v>15.91</v>
      </c>
      <c r="D173" s="40">
        <v>352.14</v>
      </c>
      <c r="E173" s="40">
        <v>0</v>
      </c>
      <c r="F173" s="40">
        <v>0</v>
      </c>
      <c r="G173" s="40">
        <v>8.29</v>
      </c>
      <c r="H173" s="40">
        <v>8.29</v>
      </c>
      <c r="I173" s="40">
        <v>0.06</v>
      </c>
      <c r="J173" s="40">
        <v>0.05</v>
      </c>
      <c r="K173" s="40">
        <v>8.4</v>
      </c>
      <c r="L173" s="40">
        <v>343.74</v>
      </c>
      <c r="M173" s="40">
        <v>51.05</v>
      </c>
      <c r="N173" s="40">
        <v>15.95</v>
      </c>
      <c r="O173" s="40">
        <v>67</v>
      </c>
      <c r="P173" s="40">
        <v>276.74</v>
      </c>
      <c r="Q173" s="40">
        <v>19.491476115668817</v>
      </c>
      <c r="R173" s="38"/>
    </row>
    <row r="174" spans="1:18" ht="14.25">
      <c r="A174" s="20" t="s">
        <v>27</v>
      </c>
      <c r="B174" s="40">
        <v>2491.93</v>
      </c>
      <c r="C174" s="40">
        <v>730.01</v>
      </c>
      <c r="D174" s="40">
        <v>3221.94</v>
      </c>
      <c r="E174" s="40">
        <v>1214.15</v>
      </c>
      <c r="F174" s="40">
        <v>20.38</v>
      </c>
      <c r="G174" s="40">
        <v>0</v>
      </c>
      <c r="H174" s="40">
        <v>1234.53</v>
      </c>
      <c r="I174" s="40">
        <v>0</v>
      </c>
      <c r="J174" s="40">
        <v>0</v>
      </c>
      <c r="K174" s="40">
        <v>1234.53</v>
      </c>
      <c r="L174" s="40">
        <v>1987.41</v>
      </c>
      <c r="M174" s="40">
        <v>714.72</v>
      </c>
      <c r="N174" s="40">
        <v>731.26</v>
      </c>
      <c r="O174" s="40">
        <v>1445.98</v>
      </c>
      <c r="P174" s="40">
        <v>541.4299999999994</v>
      </c>
      <c r="Q174" s="40">
        <v>72.7570053486699</v>
      </c>
      <c r="R174" s="38"/>
    </row>
    <row r="175" spans="1:18" ht="14.25">
      <c r="A175" s="20" t="s">
        <v>28</v>
      </c>
      <c r="B175" s="40">
        <v>2465.38</v>
      </c>
      <c r="C175" s="40">
        <v>262.07</v>
      </c>
      <c r="D175" s="40">
        <v>2727.45</v>
      </c>
      <c r="E175" s="40">
        <v>1868.78</v>
      </c>
      <c r="F175" s="40">
        <v>18.56</v>
      </c>
      <c r="G175" s="40">
        <v>0</v>
      </c>
      <c r="H175" s="40">
        <v>1887.34</v>
      </c>
      <c r="I175" s="40">
        <v>0</v>
      </c>
      <c r="J175" s="40">
        <v>0</v>
      </c>
      <c r="K175" s="40">
        <v>1887.34</v>
      </c>
      <c r="L175" s="40">
        <v>840.11</v>
      </c>
      <c r="M175" s="40">
        <v>578.98</v>
      </c>
      <c r="N175" s="40">
        <v>262.12</v>
      </c>
      <c r="O175" s="40">
        <v>841.1</v>
      </c>
      <c r="P175" s="40">
        <v>-0.989999999999668</v>
      </c>
      <c r="Q175" s="40">
        <v>100.11784171120443</v>
      </c>
      <c r="R175" s="38" t="s">
        <v>83</v>
      </c>
    </row>
    <row r="176" spans="1:18" ht="14.25">
      <c r="A176" s="20" t="s">
        <v>29</v>
      </c>
      <c r="B176" s="40">
        <v>215.68</v>
      </c>
      <c r="C176" s="40">
        <v>37.6</v>
      </c>
      <c r="D176" s="40">
        <v>253.28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253.28</v>
      </c>
      <c r="M176" s="40">
        <v>213.27</v>
      </c>
      <c r="N176" s="40">
        <v>39.97</v>
      </c>
      <c r="O176" s="40">
        <v>253.24</v>
      </c>
      <c r="P176" s="40">
        <v>0.03999999999999204</v>
      </c>
      <c r="Q176" s="40">
        <v>99.98420720151611</v>
      </c>
      <c r="R176" s="38"/>
    </row>
    <row r="177" spans="1:18" ht="14.25">
      <c r="A177" s="20" t="s">
        <v>30</v>
      </c>
      <c r="B177" s="40">
        <v>912.8</v>
      </c>
      <c r="C177" s="40">
        <v>357.05</v>
      </c>
      <c r="D177" s="40">
        <v>1269.85</v>
      </c>
      <c r="E177" s="40">
        <v>0</v>
      </c>
      <c r="F177" s="40">
        <v>0</v>
      </c>
      <c r="G177" s="40">
        <v>0</v>
      </c>
      <c r="H177" s="40">
        <v>0</v>
      </c>
      <c r="I177" s="40">
        <v>0.43</v>
      </c>
      <c r="J177" s="40">
        <v>0</v>
      </c>
      <c r="K177" s="40">
        <v>0.43</v>
      </c>
      <c r="L177" s="40">
        <v>1269.42</v>
      </c>
      <c r="M177" s="40">
        <v>912.37</v>
      </c>
      <c r="N177" s="40">
        <v>357.05</v>
      </c>
      <c r="O177" s="40">
        <v>1269.42</v>
      </c>
      <c r="P177" s="40">
        <v>0</v>
      </c>
      <c r="Q177" s="40">
        <v>100</v>
      </c>
      <c r="R177" s="39"/>
    </row>
    <row r="178" spans="1:18" ht="14.25">
      <c r="A178" s="20" t="s">
        <v>31</v>
      </c>
      <c r="B178" s="40">
        <v>546.27</v>
      </c>
      <c r="C178" s="40">
        <v>83.96</v>
      </c>
      <c r="D178" s="40">
        <v>630.23</v>
      </c>
      <c r="E178" s="40">
        <v>0</v>
      </c>
      <c r="F178" s="40">
        <v>0</v>
      </c>
      <c r="G178" s="40">
        <v>277.64</v>
      </c>
      <c r="H178" s="40">
        <v>277.64</v>
      </c>
      <c r="I178" s="40">
        <v>0</v>
      </c>
      <c r="J178" s="40">
        <v>0</v>
      </c>
      <c r="K178" s="40">
        <v>277.64</v>
      </c>
      <c r="L178" s="40">
        <v>352.59</v>
      </c>
      <c r="M178" s="40">
        <v>253.25</v>
      </c>
      <c r="N178" s="40">
        <v>85.01</v>
      </c>
      <c r="O178" s="40">
        <v>338.26</v>
      </c>
      <c r="P178" s="40">
        <v>14.33</v>
      </c>
      <c r="Q178" s="40">
        <v>95.93578944382993</v>
      </c>
      <c r="R178" s="38"/>
    </row>
    <row r="179" spans="1:18" ht="14.25">
      <c r="A179" s="20" t="s">
        <v>32</v>
      </c>
      <c r="B179" s="40">
        <v>75.55</v>
      </c>
      <c r="C179" s="40">
        <v>9.98</v>
      </c>
      <c r="D179" s="40">
        <v>85.53</v>
      </c>
      <c r="E179" s="40">
        <v>0</v>
      </c>
      <c r="F179" s="40">
        <v>2.87</v>
      </c>
      <c r="G179" s="40">
        <v>0</v>
      </c>
      <c r="H179" s="40">
        <v>2.87</v>
      </c>
      <c r="I179" s="40">
        <v>0</v>
      </c>
      <c r="J179" s="40">
        <v>29.64</v>
      </c>
      <c r="K179" s="40">
        <v>32.51</v>
      </c>
      <c r="L179" s="40">
        <v>53.02</v>
      </c>
      <c r="M179" s="40">
        <v>42.85</v>
      </c>
      <c r="N179" s="40">
        <v>10.16</v>
      </c>
      <c r="O179" s="40">
        <v>53.01</v>
      </c>
      <c r="P179" s="40">
        <v>0.00999999999999801</v>
      </c>
      <c r="Q179" s="40">
        <v>99.98113919275745</v>
      </c>
      <c r="R179" s="39"/>
    </row>
    <row r="180" spans="1:18" ht="14.25">
      <c r="A180" s="20" t="s">
        <v>33</v>
      </c>
      <c r="B180" s="40">
        <v>166.05</v>
      </c>
      <c r="C180" s="40">
        <v>142.94</v>
      </c>
      <c r="D180" s="40">
        <v>308.99</v>
      </c>
      <c r="E180" s="40">
        <v>0.47</v>
      </c>
      <c r="F180" s="40">
        <v>14.31</v>
      </c>
      <c r="G180" s="40">
        <v>0</v>
      </c>
      <c r="H180" s="40">
        <v>14.78</v>
      </c>
      <c r="I180" s="40">
        <v>3.72</v>
      </c>
      <c r="J180" s="40">
        <v>17.61</v>
      </c>
      <c r="K180" s="40">
        <v>36.11</v>
      </c>
      <c r="L180" s="40">
        <v>272.88</v>
      </c>
      <c r="M180" s="40">
        <v>134.89</v>
      </c>
      <c r="N180" s="40">
        <v>140.44</v>
      </c>
      <c r="O180" s="40">
        <v>275.33</v>
      </c>
      <c r="P180" s="40">
        <v>-2.4499999999999886</v>
      </c>
      <c r="Q180" s="40">
        <v>100.89783054822632</v>
      </c>
      <c r="R180" s="38" t="s">
        <v>83</v>
      </c>
    </row>
    <row r="181" spans="1:18" ht="14.25">
      <c r="A181" s="20" t="s">
        <v>34</v>
      </c>
      <c r="B181" s="40">
        <v>222.12</v>
      </c>
      <c r="C181" s="40">
        <v>8.99</v>
      </c>
      <c r="D181" s="40">
        <v>231.11</v>
      </c>
      <c r="E181" s="40">
        <v>1.82</v>
      </c>
      <c r="F181" s="40">
        <v>165.22</v>
      </c>
      <c r="G181" s="40">
        <v>0.78</v>
      </c>
      <c r="H181" s="40">
        <v>167.82</v>
      </c>
      <c r="I181" s="40">
        <v>0</v>
      </c>
      <c r="J181" s="40">
        <v>0</v>
      </c>
      <c r="K181" s="40">
        <v>167.82</v>
      </c>
      <c r="L181" s="40">
        <v>63.29</v>
      </c>
      <c r="M181" s="40">
        <v>52.77</v>
      </c>
      <c r="N181" s="40">
        <v>9.78</v>
      </c>
      <c r="O181" s="40">
        <v>62.55</v>
      </c>
      <c r="P181" s="40">
        <v>0.7400000000000162</v>
      </c>
      <c r="Q181" s="40">
        <v>98.83077895402114</v>
      </c>
      <c r="R181" s="39"/>
    </row>
    <row r="182" spans="1:18" ht="15">
      <c r="A182" s="21" t="s">
        <v>35</v>
      </c>
      <c r="B182" s="22">
        <v>8589.96</v>
      </c>
      <c r="C182" s="22">
        <v>2138.56</v>
      </c>
      <c r="D182" s="22">
        <v>10728.52</v>
      </c>
      <c r="E182" s="22">
        <v>3087.99</v>
      </c>
      <c r="F182" s="22">
        <v>244.12</v>
      </c>
      <c r="G182" s="22">
        <v>290.47</v>
      </c>
      <c r="H182" s="22">
        <v>3622.58</v>
      </c>
      <c r="I182" s="41">
        <v>31.4</v>
      </c>
      <c r="J182" s="41">
        <v>48.15</v>
      </c>
      <c r="K182" s="41">
        <v>3702.13</v>
      </c>
      <c r="L182" s="41">
        <v>7026.39</v>
      </c>
      <c r="M182" s="22">
        <v>4019.55</v>
      </c>
      <c r="N182" s="22">
        <v>2137.95</v>
      </c>
      <c r="O182" s="41">
        <v>6157.5</v>
      </c>
      <c r="P182" s="41">
        <v>868.8900000000012</v>
      </c>
      <c r="Q182" s="41">
        <v>87.63390588908385</v>
      </c>
      <c r="R182" s="38"/>
    </row>
    <row r="183" spans="9:18" ht="12.75">
      <c r="I183" s="33"/>
      <c r="J183" s="33"/>
      <c r="L183" s="33"/>
      <c r="O183" s="33"/>
      <c r="R183" s="26"/>
    </row>
    <row r="184" spans="1:18" ht="18">
      <c r="A184" s="157" t="s">
        <v>84</v>
      </c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26"/>
    </row>
    <row r="185" spans="1:18" ht="18">
      <c r="A185" s="157" t="s">
        <v>91</v>
      </c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26"/>
    </row>
    <row r="186" spans="1:18" ht="15.75">
      <c r="A186" s="158" t="s">
        <v>2</v>
      </c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26"/>
    </row>
    <row r="187" spans="1:18" ht="12.75">
      <c r="A187" s="147" t="s">
        <v>3</v>
      </c>
      <c r="B187" s="153" t="s">
        <v>4</v>
      </c>
      <c r="C187" s="153" t="s">
        <v>5</v>
      </c>
      <c r="D187" s="153" t="s">
        <v>6</v>
      </c>
      <c r="E187" s="152" t="s">
        <v>7</v>
      </c>
      <c r="F187" s="152"/>
      <c r="G187" s="152"/>
      <c r="H187" s="153" t="s">
        <v>8</v>
      </c>
      <c r="I187" s="146" t="s">
        <v>9</v>
      </c>
      <c r="J187" s="146" t="s">
        <v>38</v>
      </c>
      <c r="K187" s="150" t="s">
        <v>11</v>
      </c>
      <c r="L187" s="146" t="s">
        <v>39</v>
      </c>
      <c r="M187" s="147" t="s">
        <v>13</v>
      </c>
      <c r="N187" s="147" t="s">
        <v>14</v>
      </c>
      <c r="O187" s="146" t="s">
        <v>15</v>
      </c>
      <c r="P187" s="147" t="s">
        <v>16</v>
      </c>
      <c r="Q187" s="147" t="s">
        <v>17</v>
      </c>
      <c r="R187" s="148" t="s">
        <v>82</v>
      </c>
    </row>
    <row r="188" spans="1:18" ht="67.5" customHeight="1">
      <c r="A188" s="147"/>
      <c r="B188" s="155"/>
      <c r="C188" s="156"/>
      <c r="D188" s="154"/>
      <c r="E188" s="19" t="s">
        <v>18</v>
      </c>
      <c r="F188" s="19" t="s">
        <v>19</v>
      </c>
      <c r="G188" s="19" t="s">
        <v>20</v>
      </c>
      <c r="H188" s="154"/>
      <c r="I188" s="146"/>
      <c r="J188" s="146"/>
      <c r="K188" s="151"/>
      <c r="L188" s="146"/>
      <c r="M188" s="147"/>
      <c r="N188" s="147"/>
      <c r="O188" s="146"/>
      <c r="P188" s="147"/>
      <c r="Q188" s="147"/>
      <c r="R188" s="149"/>
    </row>
    <row r="189" spans="1:18" ht="14.25">
      <c r="A189" s="20" t="s">
        <v>21</v>
      </c>
      <c r="B189" s="40">
        <v>18.58</v>
      </c>
      <c r="C189" s="40">
        <v>0</v>
      </c>
      <c r="D189" s="40">
        <v>18.58</v>
      </c>
      <c r="E189" s="40">
        <v>0</v>
      </c>
      <c r="F189" s="40">
        <v>14.43</v>
      </c>
      <c r="G189" s="40">
        <v>0</v>
      </c>
      <c r="H189" s="40">
        <v>14.43</v>
      </c>
      <c r="I189" s="40">
        <v>0</v>
      </c>
      <c r="J189" s="40">
        <v>0</v>
      </c>
      <c r="K189" s="40">
        <v>14.43</v>
      </c>
      <c r="L189" s="40">
        <v>4.15</v>
      </c>
      <c r="M189" s="40">
        <v>0.27</v>
      </c>
      <c r="N189" s="40">
        <v>0.18</v>
      </c>
      <c r="O189" s="40">
        <v>0.45</v>
      </c>
      <c r="P189" s="40">
        <v>3.7</v>
      </c>
      <c r="Q189" s="40">
        <v>10.843373493975909</v>
      </c>
      <c r="R189" s="38"/>
    </row>
    <row r="190" spans="1:18" ht="14.25">
      <c r="A190" s="20" t="s">
        <v>22</v>
      </c>
      <c r="B190" s="40">
        <v>20.67</v>
      </c>
      <c r="C190" s="40">
        <v>0</v>
      </c>
      <c r="D190" s="40">
        <v>20.67</v>
      </c>
      <c r="E190" s="40">
        <v>0</v>
      </c>
      <c r="F190" s="40">
        <v>0</v>
      </c>
      <c r="G190" s="40">
        <v>14.09</v>
      </c>
      <c r="H190" s="40">
        <v>14.09</v>
      </c>
      <c r="I190" s="40">
        <v>1.27</v>
      </c>
      <c r="J190" s="40">
        <v>2.57</v>
      </c>
      <c r="K190" s="40">
        <v>17.93</v>
      </c>
      <c r="L190" s="40">
        <v>2.74</v>
      </c>
      <c r="M190" s="40">
        <v>1.85</v>
      </c>
      <c r="N190" s="40">
        <v>0.09</v>
      </c>
      <c r="O190" s="40">
        <v>1.94</v>
      </c>
      <c r="P190" s="40">
        <v>0.8000000000000018</v>
      </c>
      <c r="Q190" s="40">
        <v>70.80291970802915</v>
      </c>
      <c r="R190" s="38"/>
    </row>
    <row r="191" spans="1:18" ht="14.25">
      <c r="A191" s="20" t="s">
        <v>23</v>
      </c>
      <c r="B191" s="40">
        <v>0.01</v>
      </c>
      <c r="C191" s="40">
        <v>0</v>
      </c>
      <c r="D191" s="40">
        <v>0.01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0.01</v>
      </c>
      <c r="M191" s="40">
        <v>0.01</v>
      </c>
      <c r="N191" s="40">
        <v>0</v>
      </c>
      <c r="O191" s="40">
        <v>0.01</v>
      </c>
      <c r="P191" s="40">
        <v>0</v>
      </c>
      <c r="Q191" s="40">
        <v>100</v>
      </c>
      <c r="R191" s="38"/>
    </row>
    <row r="192" spans="1:18" ht="14.25">
      <c r="A192" s="20" t="s">
        <v>24</v>
      </c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38"/>
    </row>
    <row r="193" spans="1:18" ht="14.25">
      <c r="A193" s="20" t="s">
        <v>25</v>
      </c>
      <c r="B193" s="40">
        <v>0.97</v>
      </c>
      <c r="C193" s="40">
        <v>0</v>
      </c>
      <c r="D193" s="40">
        <v>0.97</v>
      </c>
      <c r="E193" s="40">
        <v>0</v>
      </c>
      <c r="F193" s="40">
        <v>0</v>
      </c>
      <c r="G193" s="40">
        <v>0.11</v>
      </c>
      <c r="H193" s="40">
        <v>0.11</v>
      </c>
      <c r="I193" s="40">
        <v>0</v>
      </c>
      <c r="J193" s="40">
        <v>0.4</v>
      </c>
      <c r="K193" s="40">
        <v>0.51</v>
      </c>
      <c r="L193" s="40">
        <v>0.46</v>
      </c>
      <c r="M193" s="40">
        <v>0.14</v>
      </c>
      <c r="N193" s="40">
        <v>0.05</v>
      </c>
      <c r="O193" s="40">
        <v>0.19</v>
      </c>
      <c r="P193" s="40">
        <v>0.27</v>
      </c>
      <c r="Q193" s="40">
        <v>41.30434782608696</v>
      </c>
      <c r="R193" s="38"/>
    </row>
    <row r="194" spans="1:18" ht="14.25">
      <c r="A194" s="20" t="s">
        <v>26</v>
      </c>
      <c r="B194" s="40">
        <v>126.2</v>
      </c>
      <c r="C194" s="40">
        <v>0</v>
      </c>
      <c r="D194" s="40">
        <v>126.2</v>
      </c>
      <c r="E194" s="40">
        <v>25.24</v>
      </c>
      <c r="F194" s="40">
        <v>53.11</v>
      </c>
      <c r="G194" s="40">
        <v>0.01</v>
      </c>
      <c r="H194" s="40">
        <v>78.36</v>
      </c>
      <c r="I194" s="40">
        <v>0</v>
      </c>
      <c r="J194" s="40">
        <v>0</v>
      </c>
      <c r="K194" s="40">
        <v>78.36</v>
      </c>
      <c r="L194" s="40">
        <v>47.84</v>
      </c>
      <c r="M194" s="40">
        <v>11.2</v>
      </c>
      <c r="N194" s="40">
        <v>32.04</v>
      </c>
      <c r="O194" s="40">
        <v>43.24</v>
      </c>
      <c r="P194" s="40">
        <v>4.6000000000000085</v>
      </c>
      <c r="Q194" s="40">
        <v>90.38461538461536</v>
      </c>
      <c r="R194" s="38"/>
    </row>
    <row r="195" spans="1:18" ht="14.25">
      <c r="A195" s="20" t="s">
        <v>27</v>
      </c>
      <c r="B195" s="40">
        <v>0.58</v>
      </c>
      <c r="C195" s="40">
        <v>0</v>
      </c>
      <c r="D195" s="40">
        <v>0.58</v>
      </c>
      <c r="E195" s="40">
        <v>0.03</v>
      </c>
      <c r="F195" s="40">
        <v>0</v>
      </c>
      <c r="G195" s="40">
        <v>0.18</v>
      </c>
      <c r="H195" s="40">
        <v>0.21</v>
      </c>
      <c r="I195" s="40">
        <v>0</v>
      </c>
      <c r="J195" s="40">
        <v>0</v>
      </c>
      <c r="K195" s="40">
        <v>0.21</v>
      </c>
      <c r="L195" s="40">
        <v>0.37</v>
      </c>
      <c r="M195" s="40">
        <v>0</v>
      </c>
      <c r="N195" s="40">
        <v>0.02</v>
      </c>
      <c r="O195" s="40">
        <v>0.02</v>
      </c>
      <c r="P195" s="40">
        <v>0.35</v>
      </c>
      <c r="Q195" s="40">
        <v>5.405405405405405</v>
      </c>
      <c r="R195" s="38"/>
    </row>
    <row r="196" spans="1:18" ht="14.25">
      <c r="A196" s="20" t="s">
        <v>28</v>
      </c>
      <c r="B196" s="40">
        <v>8.61</v>
      </c>
      <c r="C196" s="40">
        <v>0</v>
      </c>
      <c r="D196" s="40">
        <v>8.61</v>
      </c>
      <c r="E196" s="40">
        <v>4.84</v>
      </c>
      <c r="F196" s="40">
        <v>0.55</v>
      </c>
      <c r="G196" s="40">
        <v>0</v>
      </c>
      <c r="H196" s="40">
        <v>5.39</v>
      </c>
      <c r="I196" s="40">
        <v>0</v>
      </c>
      <c r="J196" s="40">
        <v>3.22</v>
      </c>
      <c r="K196" s="40">
        <v>8.61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38"/>
    </row>
    <row r="197" spans="1:18" ht="14.25">
      <c r="A197" s="20" t="s">
        <v>29</v>
      </c>
      <c r="B197" s="40">
        <v>15.59</v>
      </c>
      <c r="C197" s="40">
        <v>0</v>
      </c>
      <c r="D197" s="40">
        <v>15.59</v>
      </c>
      <c r="E197" s="40">
        <v>9.73</v>
      </c>
      <c r="F197" s="40">
        <v>0</v>
      </c>
      <c r="G197" s="40">
        <v>0.15</v>
      </c>
      <c r="H197" s="40">
        <v>9.88</v>
      </c>
      <c r="I197" s="40">
        <v>0</v>
      </c>
      <c r="J197" s="40">
        <v>2.48</v>
      </c>
      <c r="K197" s="40">
        <v>12.36</v>
      </c>
      <c r="L197" s="40">
        <v>3.23</v>
      </c>
      <c r="M197" s="40">
        <v>0</v>
      </c>
      <c r="N197" s="40">
        <v>0</v>
      </c>
      <c r="O197" s="40">
        <v>0</v>
      </c>
      <c r="P197" s="40">
        <v>3.23</v>
      </c>
      <c r="Q197" s="40">
        <v>0</v>
      </c>
      <c r="R197" s="39"/>
    </row>
    <row r="198" spans="1:18" ht="14.25">
      <c r="A198" s="20" t="s">
        <v>30</v>
      </c>
      <c r="B198" s="40">
        <v>2.6</v>
      </c>
      <c r="C198" s="40">
        <v>0</v>
      </c>
      <c r="D198" s="40">
        <v>2.6</v>
      </c>
      <c r="E198" s="40">
        <v>0.03</v>
      </c>
      <c r="F198" s="40">
        <v>0.34</v>
      </c>
      <c r="G198" s="40">
        <v>0</v>
      </c>
      <c r="H198" s="40">
        <v>0.37</v>
      </c>
      <c r="I198" s="40">
        <v>2.23</v>
      </c>
      <c r="J198" s="40">
        <v>0</v>
      </c>
      <c r="K198" s="40">
        <v>2.6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38"/>
    </row>
    <row r="199" spans="1:18" ht="14.25">
      <c r="A199" s="20" t="s">
        <v>31</v>
      </c>
      <c r="B199" s="40">
        <v>4.27</v>
      </c>
      <c r="C199" s="40">
        <v>0</v>
      </c>
      <c r="D199" s="40">
        <v>4.27</v>
      </c>
      <c r="E199" s="40">
        <v>0</v>
      </c>
      <c r="F199" s="40">
        <v>0.14</v>
      </c>
      <c r="G199" s="40">
        <v>0</v>
      </c>
      <c r="H199" s="40">
        <v>0.14</v>
      </c>
      <c r="I199" s="40">
        <v>0</v>
      </c>
      <c r="J199" s="40">
        <v>0</v>
      </c>
      <c r="K199" s="40">
        <v>0.14</v>
      </c>
      <c r="L199" s="40">
        <v>4.13</v>
      </c>
      <c r="M199" s="40">
        <v>0.04</v>
      </c>
      <c r="N199" s="40">
        <v>3.87</v>
      </c>
      <c r="O199" s="40">
        <v>3.91</v>
      </c>
      <c r="P199" s="40">
        <v>0.22</v>
      </c>
      <c r="Q199" s="40">
        <v>94.67312348668283</v>
      </c>
      <c r="R199" s="38"/>
    </row>
    <row r="200" spans="1:18" ht="14.25">
      <c r="A200" s="20" t="s">
        <v>32</v>
      </c>
      <c r="B200" s="40">
        <v>15.6</v>
      </c>
      <c r="C200" s="40">
        <v>0</v>
      </c>
      <c r="D200" s="40">
        <v>15.6</v>
      </c>
      <c r="E200" s="40">
        <v>1.62</v>
      </c>
      <c r="F200" s="40">
        <v>1.58</v>
      </c>
      <c r="G200" s="40">
        <v>0</v>
      </c>
      <c r="H200" s="40">
        <v>3.2</v>
      </c>
      <c r="I200" s="40">
        <v>0</v>
      </c>
      <c r="J200" s="40">
        <v>12.09</v>
      </c>
      <c r="K200" s="40">
        <v>15.29</v>
      </c>
      <c r="L200" s="40">
        <v>0.31</v>
      </c>
      <c r="M200" s="40">
        <v>0.31</v>
      </c>
      <c r="N200" s="40">
        <v>0</v>
      </c>
      <c r="O200" s="40">
        <v>0.31</v>
      </c>
      <c r="P200" s="40">
        <v>4.996003610813204E-16</v>
      </c>
      <c r="Q200" s="40">
        <v>99.99999999999983</v>
      </c>
      <c r="R200" s="38"/>
    </row>
    <row r="201" spans="1:18" ht="14.25">
      <c r="A201" s="20" t="s">
        <v>33</v>
      </c>
      <c r="B201" s="40">
        <v>1.42</v>
      </c>
      <c r="C201" s="40">
        <v>0</v>
      </c>
      <c r="D201" s="40">
        <v>1.42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1.42</v>
      </c>
      <c r="M201" s="40">
        <v>0.94</v>
      </c>
      <c r="N201" s="40">
        <v>0</v>
      </c>
      <c r="O201" s="40">
        <v>0.94</v>
      </c>
      <c r="P201" s="40">
        <v>0.48</v>
      </c>
      <c r="Q201" s="40">
        <v>66.19718309859155</v>
      </c>
      <c r="R201" s="38"/>
    </row>
    <row r="202" spans="1:18" ht="14.25">
      <c r="A202" s="20" t="s">
        <v>34</v>
      </c>
      <c r="B202" s="40">
        <v>1.65</v>
      </c>
      <c r="C202" s="40">
        <v>0</v>
      </c>
      <c r="D202" s="40">
        <v>1.65</v>
      </c>
      <c r="E202" s="40">
        <v>0.68</v>
      </c>
      <c r="F202" s="40">
        <v>0</v>
      </c>
      <c r="G202" s="40">
        <v>0</v>
      </c>
      <c r="H202" s="40">
        <v>0.68</v>
      </c>
      <c r="I202" s="40">
        <v>0.61</v>
      </c>
      <c r="J202" s="40">
        <v>0</v>
      </c>
      <c r="K202" s="40">
        <v>1.29</v>
      </c>
      <c r="L202" s="40">
        <v>0.36</v>
      </c>
      <c r="M202" s="40">
        <v>0.11</v>
      </c>
      <c r="N202" s="40">
        <v>0.06</v>
      </c>
      <c r="O202" s="40">
        <v>0.17</v>
      </c>
      <c r="P202" s="40">
        <v>0.19</v>
      </c>
      <c r="Q202" s="40">
        <v>47.22222222222223</v>
      </c>
      <c r="R202" s="38"/>
    </row>
    <row r="203" spans="1:18" ht="15">
      <c r="A203" s="21" t="s">
        <v>35</v>
      </c>
      <c r="B203" s="22">
        <v>216.75</v>
      </c>
      <c r="C203" s="22">
        <v>0</v>
      </c>
      <c r="D203" s="22">
        <v>216.75</v>
      </c>
      <c r="E203" s="22">
        <v>42.17</v>
      </c>
      <c r="F203" s="22">
        <v>70.15</v>
      </c>
      <c r="G203" s="22">
        <v>14.54</v>
      </c>
      <c r="H203" s="22">
        <v>126.86</v>
      </c>
      <c r="I203" s="41">
        <v>4.11</v>
      </c>
      <c r="J203" s="41">
        <v>20.76</v>
      </c>
      <c r="K203" s="41">
        <v>151.73</v>
      </c>
      <c r="L203" s="41">
        <v>65.02</v>
      </c>
      <c r="M203" s="22">
        <v>14.87</v>
      </c>
      <c r="N203" s="22">
        <v>36.31</v>
      </c>
      <c r="O203" s="41">
        <v>51.18</v>
      </c>
      <c r="P203" s="41">
        <v>13.84</v>
      </c>
      <c r="Q203" s="41">
        <v>78.71424177176253</v>
      </c>
      <c r="R203" s="38"/>
    </row>
    <row r="204" spans="9:18" ht="12.75">
      <c r="I204" s="33"/>
      <c r="J204" s="33"/>
      <c r="L204" s="33"/>
      <c r="O204" s="33"/>
      <c r="R204" s="26"/>
    </row>
    <row r="205" spans="1:18" ht="18">
      <c r="A205" s="157" t="s">
        <v>84</v>
      </c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26"/>
    </row>
    <row r="206" spans="1:18" ht="18">
      <c r="A206" s="157" t="s">
        <v>92</v>
      </c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26"/>
    </row>
    <row r="207" spans="1:18" ht="15.75">
      <c r="A207" s="158" t="s">
        <v>2</v>
      </c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26"/>
    </row>
    <row r="208" spans="1:18" ht="12.75">
      <c r="A208" s="147" t="s">
        <v>3</v>
      </c>
      <c r="B208" s="153" t="s">
        <v>4</v>
      </c>
      <c r="C208" s="153" t="s">
        <v>5</v>
      </c>
      <c r="D208" s="153" t="s">
        <v>6</v>
      </c>
      <c r="E208" s="152" t="s">
        <v>7</v>
      </c>
      <c r="F208" s="152"/>
      <c r="G208" s="152"/>
      <c r="H208" s="153" t="s">
        <v>8</v>
      </c>
      <c r="I208" s="146" t="s">
        <v>9</v>
      </c>
      <c r="J208" s="146" t="s">
        <v>38</v>
      </c>
      <c r="K208" s="161" t="s">
        <v>11</v>
      </c>
      <c r="L208" s="146" t="s">
        <v>39</v>
      </c>
      <c r="M208" s="147" t="s">
        <v>13</v>
      </c>
      <c r="N208" s="147" t="s">
        <v>14</v>
      </c>
      <c r="O208" s="146" t="s">
        <v>15</v>
      </c>
      <c r="P208" s="147" t="s">
        <v>16</v>
      </c>
      <c r="Q208" s="147" t="s">
        <v>17</v>
      </c>
      <c r="R208" s="148" t="s">
        <v>82</v>
      </c>
    </row>
    <row r="209" spans="1:18" ht="67.5" customHeight="1">
      <c r="A209" s="147"/>
      <c r="B209" s="155"/>
      <c r="C209" s="156"/>
      <c r="D209" s="154"/>
      <c r="E209" s="19" t="s">
        <v>18</v>
      </c>
      <c r="F209" s="19" t="s">
        <v>19</v>
      </c>
      <c r="G209" s="19" t="s">
        <v>20</v>
      </c>
      <c r="H209" s="154"/>
      <c r="I209" s="146"/>
      <c r="J209" s="146"/>
      <c r="K209" s="162"/>
      <c r="L209" s="146"/>
      <c r="M209" s="147"/>
      <c r="N209" s="147"/>
      <c r="O209" s="146"/>
      <c r="P209" s="147"/>
      <c r="Q209" s="147"/>
      <c r="R209" s="149"/>
    </row>
    <row r="210" spans="1:18" ht="14.25">
      <c r="A210" s="20" t="s">
        <v>21</v>
      </c>
      <c r="B210" s="40">
        <v>0.31</v>
      </c>
      <c r="C210" s="40">
        <v>0</v>
      </c>
      <c r="D210" s="40">
        <v>0.31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0.31</v>
      </c>
      <c r="M210" s="40">
        <v>0.13</v>
      </c>
      <c r="N210" s="40">
        <v>0.01</v>
      </c>
      <c r="O210" s="40">
        <v>0.14</v>
      </c>
      <c r="P210" s="40">
        <v>0.17</v>
      </c>
      <c r="Q210" s="40">
        <v>45.16129032258065</v>
      </c>
      <c r="R210" s="38"/>
    </row>
    <row r="211" spans="1:18" ht="14.25">
      <c r="A211" s="20" t="s">
        <v>22</v>
      </c>
      <c r="B211" s="40">
        <v>17.33</v>
      </c>
      <c r="C211" s="40">
        <v>1.65</v>
      </c>
      <c r="D211" s="40">
        <v>18.98</v>
      </c>
      <c r="E211" s="40">
        <v>0</v>
      </c>
      <c r="F211" s="40">
        <v>0</v>
      </c>
      <c r="G211" s="40">
        <v>0</v>
      </c>
      <c r="H211" s="40">
        <v>0</v>
      </c>
      <c r="I211" s="40">
        <v>0.1</v>
      </c>
      <c r="J211" s="40">
        <v>4.64</v>
      </c>
      <c r="K211" s="40">
        <v>4.74</v>
      </c>
      <c r="L211" s="40">
        <v>14.24</v>
      </c>
      <c r="M211" s="40">
        <v>11.42</v>
      </c>
      <c r="N211" s="40">
        <v>2.61</v>
      </c>
      <c r="O211" s="40">
        <v>14.03</v>
      </c>
      <c r="P211" s="40">
        <v>0.20999999999999908</v>
      </c>
      <c r="Q211" s="40">
        <v>98.52528089887642</v>
      </c>
      <c r="R211" s="38"/>
    </row>
    <row r="212" spans="1:18" ht="14.25">
      <c r="A212" s="20" t="s">
        <v>23</v>
      </c>
      <c r="B212" s="40">
        <v>12.83</v>
      </c>
      <c r="C212" s="40">
        <v>2</v>
      </c>
      <c r="D212" s="40">
        <v>14.83</v>
      </c>
      <c r="E212" s="40">
        <v>0</v>
      </c>
      <c r="F212" s="40">
        <v>0</v>
      </c>
      <c r="G212" s="40">
        <v>0</v>
      </c>
      <c r="H212" s="40">
        <v>0</v>
      </c>
      <c r="I212" s="40">
        <v>0.04</v>
      </c>
      <c r="J212" s="40">
        <v>0</v>
      </c>
      <c r="K212" s="40">
        <v>0.04</v>
      </c>
      <c r="L212" s="40">
        <v>14.79</v>
      </c>
      <c r="M212" s="40">
        <v>10.01</v>
      </c>
      <c r="N212" s="40">
        <v>4.77</v>
      </c>
      <c r="O212" s="40">
        <v>14.78</v>
      </c>
      <c r="P212" s="40">
        <v>0.010000000000001563</v>
      </c>
      <c r="Q212" s="40">
        <v>99.93238674780255</v>
      </c>
      <c r="R212" s="38"/>
    </row>
    <row r="213" spans="1:18" ht="14.25">
      <c r="A213" s="20" t="s">
        <v>24</v>
      </c>
      <c r="B213" s="40">
        <v>0.22</v>
      </c>
      <c r="C213" s="40">
        <v>0.04</v>
      </c>
      <c r="D213" s="40">
        <v>0.26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0.26</v>
      </c>
      <c r="M213" s="40">
        <v>0.22</v>
      </c>
      <c r="N213" s="40">
        <v>0.04</v>
      </c>
      <c r="O213" s="40">
        <v>0.26</v>
      </c>
      <c r="P213" s="40">
        <v>0</v>
      </c>
      <c r="Q213" s="40">
        <v>100</v>
      </c>
      <c r="R213" s="38"/>
    </row>
    <row r="214" spans="1:18" ht="14.25">
      <c r="A214" s="20" t="s">
        <v>25</v>
      </c>
      <c r="B214" s="40">
        <v>7.35</v>
      </c>
      <c r="C214" s="40">
        <v>0.69</v>
      </c>
      <c r="D214" s="40">
        <v>8.04</v>
      </c>
      <c r="E214" s="40">
        <v>0</v>
      </c>
      <c r="F214" s="40">
        <v>0</v>
      </c>
      <c r="G214" s="40">
        <v>1.3</v>
      </c>
      <c r="H214" s="40">
        <v>1.3</v>
      </c>
      <c r="I214" s="40">
        <v>0</v>
      </c>
      <c r="J214" s="40">
        <v>0</v>
      </c>
      <c r="K214" s="40">
        <v>1.3</v>
      </c>
      <c r="L214" s="40">
        <v>6.74</v>
      </c>
      <c r="M214" s="40">
        <v>5.12</v>
      </c>
      <c r="N214" s="40">
        <v>1.54</v>
      </c>
      <c r="O214" s="40">
        <v>6.66</v>
      </c>
      <c r="P214" s="40">
        <v>0.07999999999999918</v>
      </c>
      <c r="Q214" s="40">
        <v>98.81305637982197</v>
      </c>
      <c r="R214" s="38"/>
    </row>
    <row r="215" spans="1:18" ht="14.25">
      <c r="A215" s="20" t="s">
        <v>26</v>
      </c>
      <c r="B215" s="40">
        <v>30.17</v>
      </c>
      <c r="C215" s="40">
        <v>4.38</v>
      </c>
      <c r="D215" s="40">
        <v>34.55</v>
      </c>
      <c r="E215" s="40">
        <v>0</v>
      </c>
      <c r="F215" s="40">
        <v>0.33</v>
      </c>
      <c r="G215" s="40">
        <v>0</v>
      </c>
      <c r="H215" s="40">
        <v>0.33</v>
      </c>
      <c r="I215" s="40">
        <v>0</v>
      </c>
      <c r="J215" s="40">
        <v>0</v>
      </c>
      <c r="K215" s="40">
        <v>0.33</v>
      </c>
      <c r="L215" s="40">
        <v>34.22</v>
      </c>
      <c r="M215" s="40">
        <v>16.36</v>
      </c>
      <c r="N215" s="40">
        <v>17.86</v>
      </c>
      <c r="O215" s="40">
        <v>34.22</v>
      </c>
      <c r="P215" s="40">
        <v>0</v>
      </c>
      <c r="Q215" s="40">
        <v>100</v>
      </c>
      <c r="R215" s="38"/>
    </row>
    <row r="216" spans="1:18" ht="14.25">
      <c r="A216" s="20" t="s">
        <v>27</v>
      </c>
      <c r="B216" s="40">
        <v>5.63</v>
      </c>
      <c r="C216" s="40">
        <v>0.34</v>
      </c>
      <c r="D216" s="40">
        <v>5.97</v>
      </c>
      <c r="E216" s="40">
        <v>0</v>
      </c>
      <c r="F216" s="40">
        <v>0</v>
      </c>
      <c r="G216" s="40">
        <v>0.04</v>
      </c>
      <c r="H216" s="40">
        <v>0.04</v>
      </c>
      <c r="I216" s="40">
        <v>0</v>
      </c>
      <c r="J216" s="40">
        <v>0</v>
      </c>
      <c r="K216" s="40">
        <v>0.04</v>
      </c>
      <c r="L216" s="40">
        <v>5.93</v>
      </c>
      <c r="M216" s="40">
        <v>5.04</v>
      </c>
      <c r="N216" s="40">
        <v>0.87</v>
      </c>
      <c r="O216" s="40">
        <v>5.91</v>
      </c>
      <c r="P216" s="40">
        <v>0.019999999999999574</v>
      </c>
      <c r="Q216" s="40">
        <v>99.66273187183812</v>
      </c>
      <c r="R216" s="39"/>
    </row>
    <row r="217" spans="1:18" ht="14.25">
      <c r="A217" s="20" t="s">
        <v>28</v>
      </c>
      <c r="B217" s="40">
        <v>8.68</v>
      </c>
      <c r="C217" s="40">
        <v>0.02</v>
      </c>
      <c r="D217" s="40">
        <v>8.7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8.7</v>
      </c>
      <c r="M217" s="40">
        <v>8.66</v>
      </c>
      <c r="N217" s="40">
        <v>0.03</v>
      </c>
      <c r="O217" s="40">
        <v>8.69</v>
      </c>
      <c r="P217" s="40">
        <v>0.009999999999999787</v>
      </c>
      <c r="Q217" s="40">
        <v>99.88505747126437</v>
      </c>
      <c r="R217" s="38"/>
    </row>
    <row r="218" spans="1:18" ht="14.25">
      <c r="A218" s="20" t="s">
        <v>29</v>
      </c>
      <c r="B218" s="40">
        <v>12.76</v>
      </c>
      <c r="C218" s="40">
        <v>0.27</v>
      </c>
      <c r="D218" s="40">
        <v>13.03</v>
      </c>
      <c r="E218" s="40">
        <v>0.03</v>
      </c>
      <c r="F218" s="40">
        <v>0</v>
      </c>
      <c r="G218" s="40">
        <v>0</v>
      </c>
      <c r="H218" s="40">
        <v>0.03</v>
      </c>
      <c r="I218" s="40">
        <v>0</v>
      </c>
      <c r="J218" s="40">
        <v>0.48</v>
      </c>
      <c r="K218" s="40">
        <v>0.51</v>
      </c>
      <c r="L218" s="40">
        <v>12.52</v>
      </c>
      <c r="M218" s="40">
        <v>5.34</v>
      </c>
      <c r="N218" s="40">
        <v>2.52</v>
      </c>
      <c r="O218" s="40">
        <v>7.86</v>
      </c>
      <c r="P218" s="40">
        <v>4.66</v>
      </c>
      <c r="Q218" s="40">
        <v>62.77955271565495</v>
      </c>
      <c r="R218" s="38"/>
    </row>
    <row r="219" spans="1:18" ht="14.25">
      <c r="A219" s="20" t="s">
        <v>30</v>
      </c>
      <c r="B219" s="40">
        <v>4.89</v>
      </c>
      <c r="C219" s="40">
        <v>2.6</v>
      </c>
      <c r="D219" s="40">
        <v>7.49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2.16</v>
      </c>
      <c r="K219" s="40">
        <v>2.16</v>
      </c>
      <c r="L219" s="40">
        <v>5.33</v>
      </c>
      <c r="M219" s="40">
        <v>3.27</v>
      </c>
      <c r="N219" s="40">
        <v>2.05</v>
      </c>
      <c r="O219" s="40">
        <v>5.32</v>
      </c>
      <c r="P219" s="40">
        <v>0.009999999999999787</v>
      </c>
      <c r="Q219" s="40">
        <v>99.81238273921201</v>
      </c>
      <c r="R219" s="39"/>
    </row>
    <row r="220" spans="1:18" ht="14.25">
      <c r="A220" s="20" t="s">
        <v>31</v>
      </c>
      <c r="B220" s="40">
        <v>5.44</v>
      </c>
      <c r="C220" s="40">
        <v>2.37</v>
      </c>
      <c r="D220" s="40">
        <v>7.81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7.81</v>
      </c>
      <c r="M220" s="40">
        <v>3.73</v>
      </c>
      <c r="N220" s="40">
        <v>3.94</v>
      </c>
      <c r="O220" s="40">
        <v>7.67</v>
      </c>
      <c r="P220" s="40">
        <v>0.14000000000000057</v>
      </c>
      <c r="Q220" s="40">
        <v>98.20742637644045</v>
      </c>
      <c r="R220" s="38"/>
    </row>
    <row r="221" spans="1:18" ht="14.25">
      <c r="A221" s="20" t="s">
        <v>32</v>
      </c>
      <c r="B221" s="40">
        <v>23.61</v>
      </c>
      <c r="C221" s="40">
        <v>22.45</v>
      </c>
      <c r="D221" s="40">
        <v>46.06</v>
      </c>
      <c r="E221" s="40">
        <v>0.01</v>
      </c>
      <c r="F221" s="40">
        <v>8.21</v>
      </c>
      <c r="G221" s="40">
        <v>0</v>
      </c>
      <c r="H221" s="40">
        <v>8.22</v>
      </c>
      <c r="I221" s="40">
        <v>0</v>
      </c>
      <c r="J221" s="40">
        <v>7.9</v>
      </c>
      <c r="K221" s="40">
        <v>16.12</v>
      </c>
      <c r="L221" s="40">
        <v>29.94</v>
      </c>
      <c r="M221" s="40">
        <v>13.84</v>
      </c>
      <c r="N221" s="40">
        <v>16.2</v>
      </c>
      <c r="O221" s="40">
        <v>30.04</v>
      </c>
      <c r="P221" s="40">
        <v>-0.09999999999999787</v>
      </c>
      <c r="Q221" s="40">
        <v>100.33400133600534</v>
      </c>
      <c r="R221" s="38" t="s">
        <v>83</v>
      </c>
    </row>
    <row r="222" spans="1:18" ht="14.25">
      <c r="A222" s="20" t="s">
        <v>33</v>
      </c>
      <c r="B222" s="40">
        <v>1.09</v>
      </c>
      <c r="C222" s="40">
        <v>0</v>
      </c>
      <c r="D222" s="40">
        <v>1.09</v>
      </c>
      <c r="E222" s="40">
        <v>0</v>
      </c>
      <c r="F222" s="40">
        <v>0.11</v>
      </c>
      <c r="G222" s="40">
        <v>0</v>
      </c>
      <c r="H222" s="40">
        <v>0.11</v>
      </c>
      <c r="I222" s="40">
        <v>0</v>
      </c>
      <c r="J222" s="40">
        <v>0</v>
      </c>
      <c r="K222" s="40">
        <v>0.11</v>
      </c>
      <c r="L222" s="40">
        <v>0.98</v>
      </c>
      <c r="M222" s="40">
        <v>0.59</v>
      </c>
      <c r="N222" s="40">
        <v>0.03</v>
      </c>
      <c r="O222" s="40">
        <v>0.62</v>
      </c>
      <c r="P222" s="40">
        <v>0.36</v>
      </c>
      <c r="Q222" s="40">
        <v>63.26530612244897</v>
      </c>
      <c r="R222" s="38"/>
    </row>
    <row r="223" spans="1:18" ht="14.25">
      <c r="A223" s="20" t="s">
        <v>34</v>
      </c>
      <c r="B223" s="40">
        <v>0.21</v>
      </c>
      <c r="C223" s="40">
        <v>0</v>
      </c>
      <c r="D223" s="40">
        <v>0.21</v>
      </c>
      <c r="E223" s="40">
        <v>0</v>
      </c>
      <c r="F223" s="40">
        <v>0</v>
      </c>
      <c r="G223" s="40">
        <v>0</v>
      </c>
      <c r="H223" s="40">
        <v>0</v>
      </c>
      <c r="I223" s="40">
        <v>0.17</v>
      </c>
      <c r="J223" s="40">
        <v>0</v>
      </c>
      <c r="K223" s="40">
        <v>0.17</v>
      </c>
      <c r="L223" s="40">
        <v>0.04</v>
      </c>
      <c r="M223" s="40">
        <v>0.02</v>
      </c>
      <c r="N223" s="40">
        <v>0</v>
      </c>
      <c r="O223" s="40">
        <v>0.02</v>
      </c>
      <c r="P223" s="40">
        <v>0.02</v>
      </c>
      <c r="Q223" s="40">
        <v>50</v>
      </c>
      <c r="R223" s="38"/>
    </row>
    <row r="224" spans="1:18" ht="15">
      <c r="A224" s="21" t="s">
        <v>35</v>
      </c>
      <c r="B224" s="22">
        <v>130.52</v>
      </c>
      <c r="C224" s="22">
        <v>36.81</v>
      </c>
      <c r="D224" s="22">
        <v>167.33</v>
      </c>
      <c r="E224" s="22">
        <v>0.04</v>
      </c>
      <c r="F224" s="22">
        <v>8.65</v>
      </c>
      <c r="G224" s="22">
        <v>1.34</v>
      </c>
      <c r="H224" s="22">
        <v>10.03</v>
      </c>
      <c r="I224" s="41">
        <v>0.31</v>
      </c>
      <c r="J224" s="41">
        <v>15.18</v>
      </c>
      <c r="K224" s="41">
        <v>25.52</v>
      </c>
      <c r="L224" s="41">
        <v>141.81</v>
      </c>
      <c r="M224" s="22">
        <v>83.75</v>
      </c>
      <c r="N224" s="22">
        <v>52.47</v>
      </c>
      <c r="O224" s="41">
        <v>136.22</v>
      </c>
      <c r="P224" s="41">
        <v>5.589999999999975</v>
      </c>
      <c r="Q224" s="41">
        <v>96.05810591636698</v>
      </c>
      <c r="R224" s="38"/>
    </row>
    <row r="225" spans="9:18" ht="12.75">
      <c r="I225" s="33"/>
      <c r="J225" s="33"/>
      <c r="L225" s="33"/>
      <c r="O225" s="33"/>
      <c r="R225" s="26"/>
    </row>
    <row r="226" spans="1:18" ht="18">
      <c r="A226" s="157" t="s">
        <v>84</v>
      </c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26"/>
    </row>
    <row r="227" spans="1:18" ht="18">
      <c r="A227" s="157" t="s">
        <v>93</v>
      </c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26"/>
    </row>
    <row r="228" spans="1:18" ht="15.75">
      <c r="A228" s="158" t="s">
        <v>2</v>
      </c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26"/>
    </row>
    <row r="229" spans="1:18" ht="12.75">
      <c r="A229" s="147" t="s">
        <v>3</v>
      </c>
      <c r="B229" s="153" t="s">
        <v>4</v>
      </c>
      <c r="C229" s="153" t="s">
        <v>5</v>
      </c>
      <c r="D229" s="153" t="s">
        <v>6</v>
      </c>
      <c r="E229" s="152" t="s">
        <v>7</v>
      </c>
      <c r="F229" s="152"/>
      <c r="G229" s="152"/>
      <c r="H229" s="153" t="s">
        <v>8</v>
      </c>
      <c r="I229" s="146" t="s">
        <v>9</v>
      </c>
      <c r="J229" s="146" t="s">
        <v>38</v>
      </c>
      <c r="K229" s="150" t="s">
        <v>11</v>
      </c>
      <c r="L229" s="146" t="s">
        <v>39</v>
      </c>
      <c r="M229" s="147" t="s">
        <v>13</v>
      </c>
      <c r="N229" s="147" t="s">
        <v>14</v>
      </c>
      <c r="O229" s="146" t="s">
        <v>15</v>
      </c>
      <c r="P229" s="147" t="s">
        <v>16</v>
      </c>
      <c r="Q229" s="147" t="s">
        <v>17</v>
      </c>
      <c r="R229" s="148" t="s">
        <v>82</v>
      </c>
    </row>
    <row r="230" spans="1:18" ht="67.5" customHeight="1">
      <c r="A230" s="147"/>
      <c r="B230" s="155"/>
      <c r="C230" s="156"/>
      <c r="D230" s="154"/>
      <c r="E230" s="19" t="s">
        <v>18</v>
      </c>
      <c r="F230" s="19" t="s">
        <v>19</v>
      </c>
      <c r="G230" s="19" t="s">
        <v>20</v>
      </c>
      <c r="H230" s="154"/>
      <c r="I230" s="146"/>
      <c r="J230" s="146"/>
      <c r="K230" s="151"/>
      <c r="L230" s="146"/>
      <c r="M230" s="147"/>
      <c r="N230" s="147"/>
      <c r="O230" s="146"/>
      <c r="P230" s="147"/>
      <c r="Q230" s="147"/>
      <c r="R230" s="149"/>
    </row>
    <row r="231" spans="1:18" ht="14.25">
      <c r="A231" s="20" t="s">
        <v>21</v>
      </c>
      <c r="B231" s="40">
        <v>19.77</v>
      </c>
      <c r="C231" s="40">
        <v>0</v>
      </c>
      <c r="D231" s="40">
        <v>19.77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19.77</v>
      </c>
      <c r="M231" s="40">
        <v>3.88</v>
      </c>
      <c r="N231" s="40">
        <v>0.45</v>
      </c>
      <c r="O231" s="40">
        <v>4.33</v>
      </c>
      <c r="P231" s="40">
        <v>15.44</v>
      </c>
      <c r="Q231" s="40">
        <v>21.901871522508852</v>
      </c>
      <c r="R231" s="38"/>
    </row>
    <row r="232" spans="1:18" ht="14.25">
      <c r="A232" s="20" t="s">
        <v>22</v>
      </c>
      <c r="B232" s="40">
        <v>1.92</v>
      </c>
      <c r="C232" s="40">
        <v>0</v>
      </c>
      <c r="D232" s="40">
        <v>1.92</v>
      </c>
      <c r="E232" s="40">
        <v>0</v>
      </c>
      <c r="F232" s="40">
        <v>0.56</v>
      </c>
      <c r="G232" s="40">
        <v>0</v>
      </c>
      <c r="H232" s="40">
        <v>0.56</v>
      </c>
      <c r="I232" s="40">
        <v>0</v>
      </c>
      <c r="J232" s="40">
        <v>0</v>
      </c>
      <c r="K232" s="40">
        <v>0.56</v>
      </c>
      <c r="L232" s="40">
        <v>1.36</v>
      </c>
      <c r="M232" s="40">
        <v>0.21</v>
      </c>
      <c r="N232" s="40">
        <v>0.02</v>
      </c>
      <c r="O232" s="40">
        <v>0.23</v>
      </c>
      <c r="P232" s="40">
        <v>1.13</v>
      </c>
      <c r="Q232" s="40">
        <v>16.911764705882355</v>
      </c>
      <c r="R232" s="38"/>
    </row>
    <row r="233" spans="1:18" ht="14.25">
      <c r="A233" s="20" t="s">
        <v>23</v>
      </c>
      <c r="B233" s="40">
        <v>0.21</v>
      </c>
      <c r="C233" s="40">
        <v>0</v>
      </c>
      <c r="D233" s="40">
        <v>0.21</v>
      </c>
      <c r="E233" s="40">
        <v>0</v>
      </c>
      <c r="F233" s="40">
        <v>0.12</v>
      </c>
      <c r="G233" s="40">
        <v>0</v>
      </c>
      <c r="H233" s="40">
        <v>0.12</v>
      </c>
      <c r="I233" s="40">
        <v>0</v>
      </c>
      <c r="J233" s="40">
        <v>0</v>
      </c>
      <c r="K233" s="40">
        <v>0.12</v>
      </c>
      <c r="L233" s="40">
        <v>0.09</v>
      </c>
      <c r="M233" s="40">
        <v>0.1</v>
      </c>
      <c r="N233" s="40">
        <v>0</v>
      </c>
      <c r="O233" s="40">
        <v>0.1</v>
      </c>
      <c r="P233" s="40">
        <v>-0.01</v>
      </c>
      <c r="Q233" s="40">
        <v>111.11111111111111</v>
      </c>
      <c r="R233" s="38" t="s">
        <v>83</v>
      </c>
    </row>
    <row r="234" spans="1:18" ht="14.25">
      <c r="A234" s="20" t="s">
        <v>24</v>
      </c>
      <c r="B234" s="40">
        <v>4.61</v>
      </c>
      <c r="C234" s="40">
        <v>0</v>
      </c>
      <c r="D234" s="40">
        <v>4.61</v>
      </c>
      <c r="E234" s="40">
        <v>1.93</v>
      </c>
      <c r="F234" s="40">
        <v>0</v>
      </c>
      <c r="G234" s="40">
        <v>0</v>
      </c>
      <c r="H234" s="40">
        <v>1.93</v>
      </c>
      <c r="I234" s="40">
        <v>0</v>
      </c>
      <c r="J234" s="40">
        <v>0</v>
      </c>
      <c r="K234" s="40">
        <v>1.93</v>
      </c>
      <c r="L234" s="40">
        <v>2.68</v>
      </c>
      <c r="M234" s="40">
        <v>0.04</v>
      </c>
      <c r="N234" s="40">
        <v>0.01</v>
      </c>
      <c r="O234" s="40">
        <v>0.05</v>
      </c>
      <c r="P234" s="40">
        <v>2.63</v>
      </c>
      <c r="Q234" s="40">
        <v>1.8656716417910446</v>
      </c>
      <c r="R234" s="38"/>
    </row>
    <row r="235" spans="1:18" ht="14.25">
      <c r="A235" s="20" t="s">
        <v>25</v>
      </c>
      <c r="B235" s="40">
        <v>0.01</v>
      </c>
      <c r="C235" s="40">
        <v>0</v>
      </c>
      <c r="D235" s="40">
        <v>0.01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0.01</v>
      </c>
      <c r="M235" s="40">
        <v>0.01</v>
      </c>
      <c r="N235" s="40">
        <v>0</v>
      </c>
      <c r="O235" s="40">
        <v>0.01</v>
      </c>
      <c r="P235" s="40">
        <v>0</v>
      </c>
      <c r="Q235" s="40">
        <v>100</v>
      </c>
      <c r="R235" s="38"/>
    </row>
    <row r="236" spans="1:18" ht="14.25">
      <c r="A236" s="20" t="s">
        <v>26</v>
      </c>
      <c r="B236" s="40">
        <v>0.15</v>
      </c>
      <c r="C236" s="40">
        <v>0</v>
      </c>
      <c r="D236" s="40">
        <v>0.15</v>
      </c>
      <c r="E236" s="40">
        <v>0</v>
      </c>
      <c r="F236" s="40">
        <v>0</v>
      </c>
      <c r="G236" s="40">
        <v>0.01</v>
      </c>
      <c r="H236" s="40">
        <v>0.01</v>
      </c>
      <c r="I236" s="40">
        <v>0.09</v>
      </c>
      <c r="J236" s="40">
        <v>0</v>
      </c>
      <c r="K236" s="40">
        <v>0.1</v>
      </c>
      <c r="L236" s="40">
        <v>0.05</v>
      </c>
      <c r="M236" s="40">
        <v>0</v>
      </c>
      <c r="N236" s="40">
        <v>0.01</v>
      </c>
      <c r="O236" s="40">
        <v>0.01</v>
      </c>
      <c r="P236" s="40">
        <v>0.04</v>
      </c>
      <c r="Q236" s="40">
        <v>20</v>
      </c>
      <c r="R236" s="38"/>
    </row>
    <row r="237" spans="1:18" ht="14.25">
      <c r="A237" s="20" t="s">
        <v>27</v>
      </c>
      <c r="B237" s="40">
        <v>5.46</v>
      </c>
      <c r="C237" s="40">
        <v>0</v>
      </c>
      <c r="D237" s="40">
        <v>5.46</v>
      </c>
      <c r="E237" s="40">
        <v>0</v>
      </c>
      <c r="F237" s="40">
        <v>0.08</v>
      </c>
      <c r="G237" s="40">
        <v>4.33</v>
      </c>
      <c r="H237" s="40">
        <v>4.41</v>
      </c>
      <c r="I237" s="40">
        <v>0</v>
      </c>
      <c r="J237" s="40">
        <v>0</v>
      </c>
      <c r="K237" s="40">
        <v>4.41</v>
      </c>
      <c r="L237" s="40">
        <v>1.05</v>
      </c>
      <c r="M237" s="40">
        <v>0.72</v>
      </c>
      <c r="N237" s="40">
        <v>0.1</v>
      </c>
      <c r="O237" s="40">
        <v>0.82</v>
      </c>
      <c r="P237" s="40">
        <v>0.23</v>
      </c>
      <c r="Q237" s="40">
        <v>78.0952380952381</v>
      </c>
      <c r="R237" s="38"/>
    </row>
    <row r="238" spans="1:18" ht="14.25">
      <c r="A238" s="20" t="s">
        <v>28</v>
      </c>
      <c r="B238" s="40">
        <v>3.75</v>
      </c>
      <c r="C238" s="40">
        <v>0</v>
      </c>
      <c r="D238" s="40">
        <v>3.75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3.75</v>
      </c>
      <c r="M238" s="40">
        <v>3.75</v>
      </c>
      <c r="N238" s="40">
        <v>0</v>
      </c>
      <c r="O238" s="40">
        <v>3.75</v>
      </c>
      <c r="P238" s="40">
        <v>0</v>
      </c>
      <c r="Q238" s="40">
        <v>100</v>
      </c>
      <c r="R238" s="39"/>
    </row>
    <row r="239" spans="1:18" ht="14.25">
      <c r="A239" s="20" t="s">
        <v>29</v>
      </c>
      <c r="B239" s="40">
        <v>1.6</v>
      </c>
      <c r="C239" s="40">
        <v>0</v>
      </c>
      <c r="D239" s="40">
        <v>1.6</v>
      </c>
      <c r="E239" s="40">
        <v>0</v>
      </c>
      <c r="F239" s="40">
        <v>0</v>
      </c>
      <c r="G239" s="40">
        <v>0.02</v>
      </c>
      <c r="H239" s="40">
        <v>0.02</v>
      </c>
      <c r="I239" s="40">
        <v>0</v>
      </c>
      <c r="J239" s="40">
        <v>0</v>
      </c>
      <c r="K239" s="40">
        <v>0.02</v>
      </c>
      <c r="L239" s="40">
        <v>1.58</v>
      </c>
      <c r="M239" s="40">
        <v>0.85</v>
      </c>
      <c r="N239" s="40">
        <v>0.1</v>
      </c>
      <c r="O239" s="40">
        <v>0.95</v>
      </c>
      <c r="P239" s="40">
        <v>0.63</v>
      </c>
      <c r="Q239" s="40">
        <v>60.12658227848101</v>
      </c>
      <c r="R239" s="38" t="s">
        <v>94</v>
      </c>
    </row>
    <row r="240" spans="1:18" ht="14.25">
      <c r="A240" s="20" t="s">
        <v>30</v>
      </c>
      <c r="B240" s="40">
        <v>6.37</v>
      </c>
      <c r="C240" s="40">
        <v>0</v>
      </c>
      <c r="D240" s="40">
        <v>6.37</v>
      </c>
      <c r="E240" s="40">
        <v>0</v>
      </c>
      <c r="F240" s="40">
        <v>1.03</v>
      </c>
      <c r="G240" s="40">
        <v>2.68</v>
      </c>
      <c r="H240" s="40">
        <v>3.71</v>
      </c>
      <c r="I240" s="40">
        <v>0</v>
      </c>
      <c r="J240" s="40">
        <v>2.66</v>
      </c>
      <c r="K240" s="40">
        <v>6.37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38"/>
    </row>
    <row r="241" spans="1:18" ht="14.25">
      <c r="A241" s="20" t="s">
        <v>31</v>
      </c>
      <c r="B241" s="40">
        <v>0.31</v>
      </c>
      <c r="C241" s="40">
        <v>0</v>
      </c>
      <c r="D241" s="40">
        <v>0.31</v>
      </c>
      <c r="E241" s="40">
        <v>0</v>
      </c>
      <c r="F241" s="40">
        <v>0.03</v>
      </c>
      <c r="G241" s="40">
        <v>0</v>
      </c>
      <c r="H241" s="40">
        <v>0.03</v>
      </c>
      <c r="I241" s="40">
        <v>0</v>
      </c>
      <c r="J241" s="40">
        <v>0</v>
      </c>
      <c r="K241" s="40">
        <v>0.03</v>
      </c>
      <c r="L241" s="40">
        <v>0.28</v>
      </c>
      <c r="M241" s="40">
        <v>0.18</v>
      </c>
      <c r="N241" s="40">
        <v>0.04</v>
      </c>
      <c r="O241" s="40">
        <v>0.22</v>
      </c>
      <c r="P241" s="40">
        <v>0.06</v>
      </c>
      <c r="Q241" s="40">
        <v>78.57142857142857</v>
      </c>
      <c r="R241" s="38"/>
    </row>
    <row r="242" spans="1:18" ht="14.25">
      <c r="A242" s="20" t="s">
        <v>32</v>
      </c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38"/>
    </row>
    <row r="243" spans="1:18" ht="14.25">
      <c r="A243" s="20" t="s">
        <v>33</v>
      </c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38"/>
    </row>
    <row r="244" spans="1:18" ht="14.25">
      <c r="A244" s="20" t="s">
        <v>34</v>
      </c>
      <c r="B244" s="40">
        <v>0.01</v>
      </c>
      <c r="C244" s="40">
        <v>0</v>
      </c>
      <c r="D244" s="40">
        <v>0.01</v>
      </c>
      <c r="E244" s="40">
        <v>0</v>
      </c>
      <c r="F244" s="40">
        <v>0</v>
      </c>
      <c r="G244" s="40">
        <v>0</v>
      </c>
      <c r="H244" s="40">
        <v>0</v>
      </c>
      <c r="I244" s="40">
        <v>0.01</v>
      </c>
      <c r="J244" s="40">
        <v>0</v>
      </c>
      <c r="K244" s="40">
        <v>0.01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38"/>
    </row>
    <row r="245" spans="1:18" ht="15">
      <c r="A245" s="21" t="s">
        <v>35</v>
      </c>
      <c r="B245" s="22">
        <v>44.17</v>
      </c>
      <c r="C245" s="22">
        <v>0</v>
      </c>
      <c r="D245" s="22">
        <v>44.17</v>
      </c>
      <c r="E245" s="22">
        <v>1.93</v>
      </c>
      <c r="F245" s="22">
        <v>1.82</v>
      </c>
      <c r="G245" s="22">
        <v>7.04</v>
      </c>
      <c r="H245" s="22">
        <v>10.79</v>
      </c>
      <c r="I245" s="41">
        <v>0.1</v>
      </c>
      <c r="J245" s="41">
        <v>2.66</v>
      </c>
      <c r="K245" s="41">
        <v>13.55</v>
      </c>
      <c r="L245" s="41">
        <v>30.62</v>
      </c>
      <c r="M245" s="22">
        <v>9.74</v>
      </c>
      <c r="N245" s="22">
        <v>0.73</v>
      </c>
      <c r="O245" s="41">
        <v>10.47</v>
      </c>
      <c r="P245" s="41">
        <v>20.15</v>
      </c>
      <c r="Q245" s="41">
        <v>34.19333768778577</v>
      </c>
      <c r="R245" s="38"/>
    </row>
    <row r="246" spans="9:18" ht="12.75">
      <c r="I246" s="33"/>
      <c r="J246" s="33"/>
      <c r="L246" s="33"/>
      <c r="O246" s="33"/>
      <c r="R246" s="26"/>
    </row>
    <row r="247" spans="1:18" ht="18">
      <c r="A247" s="157" t="s">
        <v>84</v>
      </c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26"/>
    </row>
    <row r="248" spans="1:18" ht="18">
      <c r="A248" s="157" t="s">
        <v>95</v>
      </c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26"/>
    </row>
    <row r="249" spans="1:18" ht="15.75">
      <c r="A249" s="158" t="s">
        <v>2</v>
      </c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26"/>
    </row>
    <row r="250" spans="1:18" ht="12.75">
      <c r="A250" s="147" t="s">
        <v>3</v>
      </c>
      <c r="B250" s="153" t="s">
        <v>4</v>
      </c>
      <c r="C250" s="153" t="s">
        <v>5</v>
      </c>
      <c r="D250" s="153" t="s">
        <v>6</v>
      </c>
      <c r="E250" s="152" t="s">
        <v>7</v>
      </c>
      <c r="F250" s="152"/>
      <c r="G250" s="152"/>
      <c r="H250" s="153" t="s">
        <v>8</v>
      </c>
      <c r="I250" s="146" t="s">
        <v>9</v>
      </c>
      <c r="J250" s="146" t="s">
        <v>38</v>
      </c>
      <c r="K250" s="150" t="s">
        <v>11</v>
      </c>
      <c r="L250" s="146" t="s">
        <v>39</v>
      </c>
      <c r="M250" s="147" t="s">
        <v>13</v>
      </c>
      <c r="N250" s="147" t="s">
        <v>14</v>
      </c>
      <c r="O250" s="146" t="s">
        <v>15</v>
      </c>
      <c r="P250" s="147" t="s">
        <v>16</v>
      </c>
      <c r="Q250" s="147" t="s">
        <v>17</v>
      </c>
      <c r="R250" s="148" t="s">
        <v>82</v>
      </c>
    </row>
    <row r="251" spans="1:18" ht="67.5" customHeight="1">
      <c r="A251" s="147"/>
      <c r="B251" s="155"/>
      <c r="C251" s="156"/>
      <c r="D251" s="154"/>
      <c r="E251" s="19" t="s">
        <v>18</v>
      </c>
      <c r="F251" s="19" t="s">
        <v>19</v>
      </c>
      <c r="G251" s="19" t="s">
        <v>20</v>
      </c>
      <c r="H251" s="154"/>
      <c r="I251" s="146"/>
      <c r="J251" s="146"/>
      <c r="K251" s="151"/>
      <c r="L251" s="146"/>
      <c r="M251" s="147"/>
      <c r="N251" s="147"/>
      <c r="O251" s="146"/>
      <c r="P251" s="147"/>
      <c r="Q251" s="147"/>
      <c r="R251" s="149"/>
    </row>
    <row r="252" spans="1:18" ht="14.25">
      <c r="A252" s="20" t="s">
        <v>21</v>
      </c>
      <c r="B252" s="40">
        <v>3.95</v>
      </c>
      <c r="C252" s="40">
        <v>0</v>
      </c>
      <c r="D252" s="40">
        <v>3.95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3.95</v>
      </c>
      <c r="M252" s="40">
        <v>2.52</v>
      </c>
      <c r="N252" s="40">
        <v>0.19</v>
      </c>
      <c r="O252" s="40">
        <v>2.71</v>
      </c>
      <c r="P252" s="40">
        <v>1.24</v>
      </c>
      <c r="Q252" s="40">
        <v>68.60759493670886</v>
      </c>
      <c r="R252" s="38"/>
    </row>
    <row r="253" spans="1:18" ht="14.25">
      <c r="A253" s="20" t="s">
        <v>22</v>
      </c>
      <c r="B253" s="40">
        <v>0.56</v>
      </c>
      <c r="C253" s="40">
        <v>0.14</v>
      </c>
      <c r="D253" s="40">
        <v>0.7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0.7</v>
      </c>
      <c r="M253" s="40">
        <v>0.56</v>
      </c>
      <c r="N253" s="40">
        <v>0.07</v>
      </c>
      <c r="O253" s="40">
        <v>0.63</v>
      </c>
      <c r="P253" s="40">
        <v>0.06999999999999995</v>
      </c>
      <c r="Q253" s="40">
        <v>90</v>
      </c>
      <c r="R253" s="38"/>
    </row>
    <row r="254" spans="1:18" ht="14.25">
      <c r="A254" s="20" t="s">
        <v>23</v>
      </c>
      <c r="B254" s="40">
        <v>1.25</v>
      </c>
      <c r="C254" s="40">
        <v>0.11</v>
      </c>
      <c r="D254" s="40">
        <v>1.36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1.36</v>
      </c>
      <c r="M254" s="40">
        <v>1.25</v>
      </c>
      <c r="N254" s="40">
        <v>0.11</v>
      </c>
      <c r="O254" s="40">
        <v>1.36</v>
      </c>
      <c r="P254" s="40">
        <v>0</v>
      </c>
      <c r="Q254" s="40">
        <v>100</v>
      </c>
      <c r="R254" s="38"/>
    </row>
    <row r="255" spans="1:18" ht="14.25">
      <c r="A255" s="20" t="s">
        <v>24</v>
      </c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38"/>
    </row>
    <row r="256" spans="1:18" ht="14.25">
      <c r="A256" s="20" t="s">
        <v>25</v>
      </c>
      <c r="B256" s="40">
        <v>1.01</v>
      </c>
      <c r="C256" s="40">
        <v>0.05</v>
      </c>
      <c r="D256" s="40">
        <v>1.06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1.06</v>
      </c>
      <c r="M256" s="40">
        <v>0.84</v>
      </c>
      <c r="N256" s="40">
        <v>0.12</v>
      </c>
      <c r="O256" s="40">
        <v>0.96</v>
      </c>
      <c r="P256" s="40">
        <v>0.1</v>
      </c>
      <c r="Q256" s="40">
        <v>90.56603773584905</v>
      </c>
      <c r="R256" s="39"/>
    </row>
    <row r="257" spans="1:18" ht="14.25">
      <c r="A257" s="20" t="s">
        <v>26</v>
      </c>
      <c r="B257" s="40">
        <v>1.03</v>
      </c>
      <c r="C257" s="40">
        <v>0.03</v>
      </c>
      <c r="D257" s="40">
        <v>1.06</v>
      </c>
      <c r="E257" s="40">
        <v>0</v>
      </c>
      <c r="F257" s="40">
        <v>0</v>
      </c>
      <c r="G257" s="40">
        <v>0</v>
      </c>
      <c r="H257" s="40">
        <v>0</v>
      </c>
      <c r="I257" s="40">
        <v>0.63</v>
      </c>
      <c r="J257" s="40">
        <v>0</v>
      </c>
      <c r="K257" s="40">
        <v>0.63</v>
      </c>
      <c r="L257" s="40">
        <v>0.43</v>
      </c>
      <c r="M257" s="40">
        <v>0.39</v>
      </c>
      <c r="N257" s="40">
        <v>0.03</v>
      </c>
      <c r="O257" s="40">
        <v>0.42</v>
      </c>
      <c r="P257" s="40">
        <v>0.01</v>
      </c>
      <c r="Q257" s="40">
        <v>97.67441860465115</v>
      </c>
      <c r="R257" s="39"/>
    </row>
    <row r="258" spans="1:18" ht="14.25">
      <c r="A258" s="20" t="s">
        <v>27</v>
      </c>
      <c r="B258" s="40">
        <v>18.11</v>
      </c>
      <c r="C258" s="40">
        <v>0.3</v>
      </c>
      <c r="D258" s="40">
        <v>18.41</v>
      </c>
      <c r="E258" s="40">
        <v>0</v>
      </c>
      <c r="F258" s="40">
        <v>0</v>
      </c>
      <c r="G258" s="40">
        <v>0.48</v>
      </c>
      <c r="H258" s="40">
        <v>0.48</v>
      </c>
      <c r="I258" s="40">
        <v>0</v>
      </c>
      <c r="J258" s="40">
        <v>0</v>
      </c>
      <c r="K258" s="40">
        <v>0.48</v>
      </c>
      <c r="L258" s="40">
        <v>17.93</v>
      </c>
      <c r="M258" s="40">
        <v>14.43</v>
      </c>
      <c r="N258" s="40">
        <v>2.73</v>
      </c>
      <c r="O258" s="40">
        <v>17.16</v>
      </c>
      <c r="P258" s="40">
        <v>0.77</v>
      </c>
      <c r="Q258" s="40">
        <v>95.70552147239265</v>
      </c>
      <c r="R258" s="39"/>
    </row>
    <row r="259" spans="1:18" ht="14.25">
      <c r="A259" s="20" t="s">
        <v>28</v>
      </c>
      <c r="B259" s="40">
        <v>18.95</v>
      </c>
      <c r="C259" s="40">
        <v>0.02</v>
      </c>
      <c r="D259" s="40">
        <v>18.97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18.97</v>
      </c>
      <c r="M259" s="40">
        <v>16.14</v>
      </c>
      <c r="N259" s="40">
        <v>1.53</v>
      </c>
      <c r="O259" s="40">
        <v>17.67</v>
      </c>
      <c r="P259" s="40">
        <v>1.3</v>
      </c>
      <c r="Q259" s="40">
        <v>93.14707432788614</v>
      </c>
      <c r="R259" s="38"/>
    </row>
    <row r="260" spans="1:18" ht="14.25">
      <c r="A260" s="20" t="s">
        <v>29</v>
      </c>
      <c r="B260" s="40">
        <v>32.35</v>
      </c>
      <c r="C260" s="40">
        <v>0</v>
      </c>
      <c r="D260" s="40">
        <v>32.35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32.35</v>
      </c>
      <c r="M260" s="40">
        <v>29.98</v>
      </c>
      <c r="N260" s="40">
        <v>3.35</v>
      </c>
      <c r="O260" s="40">
        <v>33.33</v>
      </c>
      <c r="P260" s="40">
        <v>-0.9799999999999969</v>
      </c>
      <c r="Q260" s="40">
        <v>103.02936630602781</v>
      </c>
      <c r="R260" s="38" t="s">
        <v>83</v>
      </c>
    </row>
    <row r="261" spans="1:18" ht="14.25">
      <c r="A261" s="20" t="s">
        <v>30</v>
      </c>
      <c r="B261" s="40">
        <v>2.79</v>
      </c>
      <c r="C261" s="40">
        <v>0.01</v>
      </c>
      <c r="D261" s="40">
        <v>2.8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0.07</v>
      </c>
      <c r="K261" s="40">
        <v>0.07</v>
      </c>
      <c r="L261" s="40">
        <v>2.73</v>
      </c>
      <c r="M261" s="40">
        <v>2.7</v>
      </c>
      <c r="N261" s="40">
        <v>0.18</v>
      </c>
      <c r="O261" s="40">
        <v>2.88</v>
      </c>
      <c r="P261" s="40">
        <v>-0.15</v>
      </c>
      <c r="Q261" s="40">
        <v>105.4945054945055</v>
      </c>
      <c r="R261" s="39"/>
    </row>
    <row r="262" spans="1:18" ht="14.25">
      <c r="A262" s="20" t="s">
        <v>31</v>
      </c>
      <c r="B262" s="40">
        <v>2.13</v>
      </c>
      <c r="C262" s="40">
        <v>0</v>
      </c>
      <c r="D262" s="40">
        <v>2.13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2.13</v>
      </c>
      <c r="M262" s="40">
        <v>1.76</v>
      </c>
      <c r="N262" s="40">
        <v>0.26</v>
      </c>
      <c r="O262" s="40">
        <v>2.02</v>
      </c>
      <c r="P262" s="40">
        <v>0.11</v>
      </c>
      <c r="Q262" s="40">
        <v>94.83568075117371</v>
      </c>
      <c r="R262" s="38"/>
    </row>
    <row r="263" spans="1:18" ht="14.25">
      <c r="A263" s="20" t="s">
        <v>32</v>
      </c>
      <c r="B263" s="40">
        <v>0.35</v>
      </c>
      <c r="C263" s="40">
        <v>0</v>
      </c>
      <c r="D263" s="40">
        <v>0.35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0.35</v>
      </c>
      <c r="M263" s="40">
        <v>0.36</v>
      </c>
      <c r="N263" s="40">
        <v>0.04</v>
      </c>
      <c r="O263" s="40">
        <v>0.4</v>
      </c>
      <c r="P263" s="40">
        <v>-0.05</v>
      </c>
      <c r="Q263" s="40">
        <v>114.28571428571428</v>
      </c>
      <c r="R263" s="38" t="s">
        <v>83</v>
      </c>
    </row>
    <row r="264" spans="1:18" ht="14.25">
      <c r="A264" s="20" t="s">
        <v>33</v>
      </c>
      <c r="B264" s="40">
        <v>0.04</v>
      </c>
      <c r="C264" s="40">
        <v>0</v>
      </c>
      <c r="D264" s="40">
        <v>0.04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0.04</v>
      </c>
      <c r="M264" s="40">
        <v>0.03</v>
      </c>
      <c r="N264" s="40">
        <v>0.01</v>
      </c>
      <c r="O264" s="40">
        <v>0.04</v>
      </c>
      <c r="P264" s="40">
        <v>0</v>
      </c>
      <c r="Q264" s="40">
        <v>100</v>
      </c>
      <c r="R264" s="38"/>
    </row>
    <row r="265" spans="1:18" ht="14.25">
      <c r="A265" s="20" t="s">
        <v>34</v>
      </c>
      <c r="B265" s="40">
        <v>0.25</v>
      </c>
      <c r="C265" s="40">
        <v>0.03</v>
      </c>
      <c r="D265" s="40">
        <v>0.28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0.28</v>
      </c>
      <c r="M265" s="40">
        <v>0.2</v>
      </c>
      <c r="N265" s="40">
        <v>0.07</v>
      </c>
      <c r="O265" s="40">
        <v>0.27</v>
      </c>
      <c r="P265" s="40">
        <v>0.01</v>
      </c>
      <c r="Q265" s="40">
        <v>96.42857142857143</v>
      </c>
      <c r="R265" s="38"/>
    </row>
    <row r="266" spans="1:18" ht="15">
      <c r="A266" s="21" t="s">
        <v>35</v>
      </c>
      <c r="B266" s="22">
        <v>82.77</v>
      </c>
      <c r="C266" s="22">
        <v>0.69</v>
      </c>
      <c r="D266" s="22">
        <v>83.46</v>
      </c>
      <c r="E266" s="22">
        <v>0</v>
      </c>
      <c r="F266" s="22">
        <v>0</v>
      </c>
      <c r="G266" s="22">
        <v>0.48</v>
      </c>
      <c r="H266" s="22">
        <v>0.48</v>
      </c>
      <c r="I266" s="41">
        <v>0.63</v>
      </c>
      <c r="J266" s="41">
        <v>0.07</v>
      </c>
      <c r="K266" s="41">
        <v>1.18</v>
      </c>
      <c r="L266" s="41">
        <v>82.28</v>
      </c>
      <c r="M266" s="22">
        <v>71.16</v>
      </c>
      <c r="N266" s="22">
        <v>8.69</v>
      </c>
      <c r="O266" s="41">
        <v>79.85</v>
      </c>
      <c r="P266" s="41">
        <v>2.4299999999999784</v>
      </c>
      <c r="Q266" s="41">
        <v>97.0466699076325</v>
      </c>
      <c r="R266" s="38"/>
    </row>
    <row r="267" spans="9:18" ht="12.75">
      <c r="I267" s="33"/>
      <c r="J267" s="33"/>
      <c r="L267" s="33"/>
      <c r="O267" s="33"/>
      <c r="R267" s="26"/>
    </row>
    <row r="268" spans="1:18" ht="18">
      <c r="A268" s="157" t="s">
        <v>84</v>
      </c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26"/>
    </row>
    <row r="269" spans="1:18" ht="18">
      <c r="A269" s="157" t="s">
        <v>96</v>
      </c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26"/>
    </row>
    <row r="270" spans="1:18" ht="15.75">
      <c r="A270" s="158" t="s">
        <v>2</v>
      </c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26"/>
    </row>
    <row r="271" spans="1:18" ht="12.75">
      <c r="A271" s="147" t="s">
        <v>3</v>
      </c>
      <c r="B271" s="153" t="s">
        <v>4</v>
      </c>
      <c r="C271" s="153" t="s">
        <v>5</v>
      </c>
      <c r="D271" s="153" t="s">
        <v>6</v>
      </c>
      <c r="E271" s="152" t="s">
        <v>7</v>
      </c>
      <c r="F271" s="152"/>
      <c r="G271" s="152"/>
      <c r="H271" s="153" t="s">
        <v>8</v>
      </c>
      <c r="I271" s="146" t="s">
        <v>9</v>
      </c>
      <c r="J271" s="146" t="s">
        <v>38</v>
      </c>
      <c r="K271" s="150" t="s">
        <v>11</v>
      </c>
      <c r="L271" s="146" t="s">
        <v>39</v>
      </c>
      <c r="M271" s="147" t="s">
        <v>13</v>
      </c>
      <c r="N271" s="147" t="s">
        <v>14</v>
      </c>
      <c r="O271" s="146" t="s">
        <v>15</v>
      </c>
      <c r="P271" s="147" t="s">
        <v>16</v>
      </c>
      <c r="Q271" s="147" t="s">
        <v>17</v>
      </c>
      <c r="R271" s="148" t="s">
        <v>82</v>
      </c>
    </row>
    <row r="272" spans="1:18" ht="67.5" customHeight="1">
      <c r="A272" s="147"/>
      <c r="B272" s="155"/>
      <c r="C272" s="156"/>
      <c r="D272" s="154"/>
      <c r="E272" s="19" t="s">
        <v>18</v>
      </c>
      <c r="F272" s="19" t="s">
        <v>19</v>
      </c>
      <c r="G272" s="19" t="s">
        <v>20</v>
      </c>
      <c r="H272" s="154"/>
      <c r="I272" s="146"/>
      <c r="J272" s="146"/>
      <c r="K272" s="151"/>
      <c r="L272" s="146"/>
      <c r="M272" s="147"/>
      <c r="N272" s="147"/>
      <c r="O272" s="146"/>
      <c r="P272" s="147"/>
      <c r="Q272" s="147"/>
      <c r="R272" s="149"/>
    </row>
    <row r="273" spans="1:18" ht="14.25">
      <c r="A273" s="20" t="s">
        <v>21</v>
      </c>
      <c r="B273" s="40">
        <v>272.52</v>
      </c>
      <c r="C273" s="40">
        <v>0</v>
      </c>
      <c r="D273" s="40">
        <v>272.52</v>
      </c>
      <c r="E273" s="40">
        <v>94.25</v>
      </c>
      <c r="F273" s="40">
        <v>26.76</v>
      </c>
      <c r="G273" s="40">
        <v>41.72</v>
      </c>
      <c r="H273" s="40">
        <v>162.73</v>
      </c>
      <c r="I273" s="40">
        <v>0</v>
      </c>
      <c r="J273" s="40">
        <v>43.04</v>
      </c>
      <c r="K273" s="40">
        <v>205.77</v>
      </c>
      <c r="L273" s="40">
        <v>66.75</v>
      </c>
      <c r="M273" s="40">
        <v>57.41</v>
      </c>
      <c r="N273" s="40">
        <v>7.49</v>
      </c>
      <c r="O273" s="40">
        <v>64.9</v>
      </c>
      <c r="P273" s="40">
        <v>1.84999999999998</v>
      </c>
      <c r="Q273" s="40">
        <v>97.22846441947569</v>
      </c>
      <c r="R273" s="38"/>
    </row>
    <row r="274" spans="1:18" ht="14.25">
      <c r="A274" s="20" t="s">
        <v>22</v>
      </c>
      <c r="B274" s="40">
        <v>88.49</v>
      </c>
      <c r="C274" s="40">
        <v>0</v>
      </c>
      <c r="D274" s="40">
        <v>88.49</v>
      </c>
      <c r="E274" s="40">
        <v>21.71</v>
      </c>
      <c r="F274" s="40">
        <v>22.8</v>
      </c>
      <c r="G274" s="40">
        <v>24.4</v>
      </c>
      <c r="H274" s="40">
        <v>68.91</v>
      </c>
      <c r="I274" s="40">
        <v>1.1</v>
      </c>
      <c r="J274" s="40">
        <v>0</v>
      </c>
      <c r="K274" s="40">
        <v>70.01</v>
      </c>
      <c r="L274" s="40">
        <v>18.48</v>
      </c>
      <c r="M274" s="40">
        <v>13.06</v>
      </c>
      <c r="N274" s="40">
        <v>3.06</v>
      </c>
      <c r="O274" s="40">
        <v>16.12</v>
      </c>
      <c r="P274" s="40">
        <v>2.36</v>
      </c>
      <c r="Q274" s="40">
        <v>87.22943722943721</v>
      </c>
      <c r="R274" s="38"/>
    </row>
    <row r="275" spans="1:18" ht="14.25">
      <c r="A275" s="20" t="s">
        <v>23</v>
      </c>
      <c r="B275" s="40">
        <v>32.98</v>
      </c>
      <c r="C275" s="40">
        <v>0</v>
      </c>
      <c r="D275" s="40">
        <v>32.98</v>
      </c>
      <c r="E275" s="40">
        <v>2.16</v>
      </c>
      <c r="F275" s="40">
        <v>1.59</v>
      </c>
      <c r="G275" s="40">
        <v>17.28</v>
      </c>
      <c r="H275" s="40">
        <v>21.03</v>
      </c>
      <c r="I275" s="40">
        <v>0</v>
      </c>
      <c r="J275" s="40">
        <v>4.97</v>
      </c>
      <c r="K275" s="40">
        <v>26</v>
      </c>
      <c r="L275" s="40">
        <v>6.98</v>
      </c>
      <c r="M275" s="40">
        <v>5.89</v>
      </c>
      <c r="N275" s="40">
        <v>1.09</v>
      </c>
      <c r="O275" s="40">
        <v>6.98</v>
      </c>
      <c r="P275" s="40">
        <v>0</v>
      </c>
      <c r="Q275" s="40">
        <v>100</v>
      </c>
      <c r="R275" s="38"/>
    </row>
    <row r="276" spans="1:18" ht="14.25">
      <c r="A276" s="20" t="s">
        <v>24</v>
      </c>
      <c r="B276" s="40">
        <v>54.3</v>
      </c>
      <c r="C276" s="40">
        <v>0</v>
      </c>
      <c r="D276" s="40">
        <v>54.3</v>
      </c>
      <c r="E276" s="40">
        <v>10.26</v>
      </c>
      <c r="F276" s="40">
        <v>7.37</v>
      </c>
      <c r="G276" s="40">
        <v>7.56</v>
      </c>
      <c r="H276" s="40">
        <v>25.19</v>
      </c>
      <c r="I276" s="40">
        <v>0</v>
      </c>
      <c r="J276" s="40">
        <v>0.38</v>
      </c>
      <c r="K276" s="40">
        <v>25.57</v>
      </c>
      <c r="L276" s="40">
        <v>28.73</v>
      </c>
      <c r="M276" s="40">
        <v>21.65</v>
      </c>
      <c r="N276" s="40">
        <v>5.96</v>
      </c>
      <c r="O276" s="40">
        <v>27.61</v>
      </c>
      <c r="P276" s="40">
        <v>1.12</v>
      </c>
      <c r="Q276" s="40">
        <v>96.10163592064043</v>
      </c>
      <c r="R276" s="38"/>
    </row>
    <row r="277" spans="1:18" ht="14.25">
      <c r="A277" s="20" t="s">
        <v>25</v>
      </c>
      <c r="B277" s="40">
        <v>139.16</v>
      </c>
      <c r="C277" s="40">
        <v>0</v>
      </c>
      <c r="D277" s="40">
        <v>139.16</v>
      </c>
      <c r="E277" s="40">
        <v>75.92</v>
      </c>
      <c r="F277" s="40">
        <v>11.83</v>
      </c>
      <c r="G277" s="40">
        <v>18.88</v>
      </c>
      <c r="H277" s="40">
        <v>106.63</v>
      </c>
      <c r="I277" s="40">
        <v>0</v>
      </c>
      <c r="J277" s="40">
        <v>0.89</v>
      </c>
      <c r="K277" s="40">
        <v>107.52</v>
      </c>
      <c r="L277" s="40">
        <v>31.64</v>
      </c>
      <c r="M277" s="40">
        <v>25.42</v>
      </c>
      <c r="N277" s="40">
        <v>4.87</v>
      </c>
      <c r="O277" s="40">
        <v>30.29</v>
      </c>
      <c r="P277" s="40">
        <v>1.35</v>
      </c>
      <c r="Q277" s="40">
        <v>95.73324905183313</v>
      </c>
      <c r="R277" s="38"/>
    </row>
    <row r="278" spans="1:18" ht="14.25">
      <c r="A278" s="20" t="s">
        <v>26</v>
      </c>
      <c r="B278" s="40">
        <v>51.26</v>
      </c>
      <c r="C278" s="40">
        <v>0</v>
      </c>
      <c r="D278" s="40">
        <v>51.26</v>
      </c>
      <c r="E278" s="40">
        <v>22.37</v>
      </c>
      <c r="F278" s="40">
        <v>9.94</v>
      </c>
      <c r="G278" s="40">
        <v>12.68</v>
      </c>
      <c r="H278" s="40">
        <v>44.99</v>
      </c>
      <c r="I278" s="40">
        <v>0.8</v>
      </c>
      <c r="J278" s="40">
        <v>0</v>
      </c>
      <c r="K278" s="40">
        <v>45.79</v>
      </c>
      <c r="L278" s="40">
        <v>5.470000000000006</v>
      </c>
      <c r="M278" s="40">
        <v>4.78</v>
      </c>
      <c r="N278" s="40">
        <v>0.32</v>
      </c>
      <c r="O278" s="40">
        <v>5.1</v>
      </c>
      <c r="P278" s="40">
        <v>0.37000000000000544</v>
      </c>
      <c r="Q278" s="40">
        <v>93.23583180987194</v>
      </c>
      <c r="R278" s="38"/>
    </row>
    <row r="279" spans="1:18" ht="14.25">
      <c r="A279" s="20" t="s">
        <v>27</v>
      </c>
      <c r="B279" s="40">
        <v>900.57</v>
      </c>
      <c r="C279" s="40">
        <v>0</v>
      </c>
      <c r="D279" s="40">
        <v>900.57</v>
      </c>
      <c r="E279" s="40">
        <v>547.11</v>
      </c>
      <c r="F279" s="40">
        <v>91.37</v>
      </c>
      <c r="G279" s="40">
        <v>139.17</v>
      </c>
      <c r="H279" s="40">
        <v>777.65</v>
      </c>
      <c r="I279" s="40">
        <v>0</v>
      </c>
      <c r="J279" s="40">
        <v>6.64</v>
      </c>
      <c r="K279" s="40">
        <v>784.29</v>
      </c>
      <c r="L279" s="40">
        <v>116.28</v>
      </c>
      <c r="M279" s="40">
        <v>68.48</v>
      </c>
      <c r="N279" s="40">
        <v>0.08</v>
      </c>
      <c r="O279" s="40">
        <v>68.56</v>
      </c>
      <c r="P279" s="40">
        <v>47.720000000000084</v>
      </c>
      <c r="Q279" s="40">
        <v>58.961128310973464</v>
      </c>
      <c r="R279" s="38"/>
    </row>
    <row r="280" spans="1:18" ht="14.25">
      <c r="A280" s="20" t="s">
        <v>28</v>
      </c>
      <c r="B280" s="40">
        <v>277.83</v>
      </c>
      <c r="C280" s="40">
        <v>0</v>
      </c>
      <c r="D280" s="40">
        <v>277.83</v>
      </c>
      <c r="E280" s="40">
        <v>131.59</v>
      </c>
      <c r="F280" s="40">
        <v>19.73</v>
      </c>
      <c r="G280" s="40">
        <v>51.74</v>
      </c>
      <c r="H280" s="40">
        <v>203.06</v>
      </c>
      <c r="I280" s="40">
        <v>0.13</v>
      </c>
      <c r="J280" s="40">
        <v>0</v>
      </c>
      <c r="K280" s="40">
        <v>203.19</v>
      </c>
      <c r="L280" s="40">
        <v>74.64</v>
      </c>
      <c r="M280" s="40">
        <v>51.08</v>
      </c>
      <c r="N280" s="40">
        <v>22.45</v>
      </c>
      <c r="O280" s="40">
        <v>73.53</v>
      </c>
      <c r="P280" s="40">
        <v>1.1099999999999852</v>
      </c>
      <c r="Q280" s="40">
        <v>98.51286173633443</v>
      </c>
      <c r="R280" s="38"/>
    </row>
    <row r="281" spans="1:18" ht="14.25">
      <c r="A281" s="20" t="s">
        <v>29</v>
      </c>
      <c r="B281" s="40">
        <v>48.13</v>
      </c>
      <c r="C281" s="40">
        <v>0</v>
      </c>
      <c r="D281" s="40">
        <v>48.13</v>
      </c>
      <c r="E281" s="40">
        <v>17.55</v>
      </c>
      <c r="F281" s="40">
        <v>17.13</v>
      </c>
      <c r="G281" s="40">
        <v>3.89</v>
      </c>
      <c r="H281" s="40">
        <v>38.57</v>
      </c>
      <c r="I281" s="40">
        <v>0</v>
      </c>
      <c r="J281" s="40">
        <v>0</v>
      </c>
      <c r="K281" s="40">
        <v>38.57</v>
      </c>
      <c r="L281" s="40">
        <v>9.56</v>
      </c>
      <c r="M281" s="40">
        <v>5.23</v>
      </c>
      <c r="N281" s="40">
        <v>4.12</v>
      </c>
      <c r="O281" s="40">
        <v>9.35</v>
      </c>
      <c r="P281" s="40">
        <v>0.21000000000000085</v>
      </c>
      <c r="Q281" s="40">
        <v>97.80334728033472</v>
      </c>
      <c r="R281" s="38"/>
    </row>
    <row r="282" spans="1:18" ht="14.25">
      <c r="A282" s="20" t="s">
        <v>30</v>
      </c>
      <c r="B282" s="40">
        <v>69.92</v>
      </c>
      <c r="C282" s="40">
        <v>0</v>
      </c>
      <c r="D282" s="40">
        <v>69.92</v>
      </c>
      <c r="E282" s="40">
        <v>22.64</v>
      </c>
      <c r="F282" s="40">
        <v>15.65</v>
      </c>
      <c r="G282" s="40">
        <v>2.63</v>
      </c>
      <c r="H282" s="40">
        <v>40.92</v>
      </c>
      <c r="I282" s="40">
        <v>0</v>
      </c>
      <c r="J282" s="40">
        <v>10.66</v>
      </c>
      <c r="K282" s="40">
        <v>51.58</v>
      </c>
      <c r="L282" s="40">
        <v>18.34</v>
      </c>
      <c r="M282" s="40">
        <v>16.94</v>
      </c>
      <c r="N282" s="40">
        <v>1.3</v>
      </c>
      <c r="O282" s="40">
        <v>18.24</v>
      </c>
      <c r="P282" s="40">
        <v>0.10000000000000142</v>
      </c>
      <c r="Q282" s="40">
        <v>99.45474372955289</v>
      </c>
      <c r="R282" s="39"/>
    </row>
    <row r="283" spans="1:18" ht="14.25">
      <c r="A283" s="20" t="s">
        <v>31</v>
      </c>
      <c r="B283" s="40">
        <v>101.72</v>
      </c>
      <c r="C283" s="40">
        <v>0</v>
      </c>
      <c r="D283" s="40">
        <v>101.72</v>
      </c>
      <c r="E283" s="40">
        <v>21.4</v>
      </c>
      <c r="F283" s="40">
        <v>27.11</v>
      </c>
      <c r="G283" s="40">
        <v>0.11</v>
      </c>
      <c r="H283" s="40">
        <v>48.62</v>
      </c>
      <c r="I283" s="40">
        <v>8.54</v>
      </c>
      <c r="J283" s="40">
        <v>0</v>
      </c>
      <c r="K283" s="40">
        <v>57.16</v>
      </c>
      <c r="L283" s="40">
        <v>44.56</v>
      </c>
      <c r="M283" s="40">
        <v>36.31</v>
      </c>
      <c r="N283" s="40">
        <v>0.78</v>
      </c>
      <c r="O283" s="40">
        <v>37.09</v>
      </c>
      <c r="P283" s="40">
        <v>7.47</v>
      </c>
      <c r="Q283" s="40">
        <v>83.23608617594255</v>
      </c>
      <c r="R283" s="38"/>
    </row>
    <row r="284" spans="1:18" ht="14.25">
      <c r="A284" s="20" t="s">
        <v>32</v>
      </c>
      <c r="B284" s="40">
        <v>23.18</v>
      </c>
      <c r="C284" s="40">
        <v>0</v>
      </c>
      <c r="D284" s="40">
        <v>23.18</v>
      </c>
      <c r="E284" s="40">
        <v>2.3</v>
      </c>
      <c r="F284" s="40">
        <v>16.59</v>
      </c>
      <c r="G284" s="40">
        <v>0.91</v>
      </c>
      <c r="H284" s="40">
        <v>19.8</v>
      </c>
      <c r="I284" s="40">
        <v>0</v>
      </c>
      <c r="J284" s="40">
        <v>1.6</v>
      </c>
      <c r="K284" s="40">
        <v>21.4</v>
      </c>
      <c r="L284" s="40">
        <v>1.78</v>
      </c>
      <c r="M284" s="40">
        <v>1.26</v>
      </c>
      <c r="N284" s="40">
        <v>0.52</v>
      </c>
      <c r="O284" s="40">
        <v>1.78</v>
      </c>
      <c r="P284" s="40">
        <v>-2.4424906541753444E-15</v>
      </c>
      <c r="Q284" s="40">
        <v>100</v>
      </c>
      <c r="R284" s="38"/>
    </row>
    <row r="285" spans="1:18" ht="14.25">
      <c r="A285" s="20" t="s">
        <v>33</v>
      </c>
      <c r="B285" s="40">
        <v>51.65</v>
      </c>
      <c r="C285" s="40">
        <v>0</v>
      </c>
      <c r="D285" s="40">
        <v>51.65</v>
      </c>
      <c r="E285" s="40">
        <v>2.83</v>
      </c>
      <c r="F285" s="40">
        <v>3.5</v>
      </c>
      <c r="G285" s="40">
        <v>1.4</v>
      </c>
      <c r="H285" s="40">
        <v>7.73</v>
      </c>
      <c r="I285" s="40">
        <v>0</v>
      </c>
      <c r="J285" s="40">
        <v>3.33</v>
      </c>
      <c r="K285" s="40">
        <v>11.06</v>
      </c>
      <c r="L285" s="40">
        <v>40.59</v>
      </c>
      <c r="M285" s="40">
        <v>9.15</v>
      </c>
      <c r="N285" s="40">
        <v>29.89</v>
      </c>
      <c r="O285" s="40">
        <v>39.04</v>
      </c>
      <c r="P285" s="40">
        <v>0</v>
      </c>
      <c r="Q285" s="40">
        <v>96.18132544961814</v>
      </c>
      <c r="R285" s="38"/>
    </row>
    <row r="286" spans="1:18" ht="14.25">
      <c r="A286" s="20" t="s">
        <v>34</v>
      </c>
      <c r="B286" s="40">
        <v>43.77</v>
      </c>
      <c r="C286" s="40">
        <v>0</v>
      </c>
      <c r="D286" s="40">
        <v>43.77</v>
      </c>
      <c r="E286" s="40">
        <v>2.92</v>
      </c>
      <c r="F286" s="40">
        <v>13.98</v>
      </c>
      <c r="G286" s="40">
        <v>16.4</v>
      </c>
      <c r="H286" s="40">
        <v>33.3</v>
      </c>
      <c r="I286" s="40">
        <v>1.58</v>
      </c>
      <c r="J286" s="40">
        <v>0.04</v>
      </c>
      <c r="K286" s="40">
        <v>34.92</v>
      </c>
      <c r="L286" s="40">
        <v>8.850000000000009</v>
      </c>
      <c r="M286" s="40">
        <v>6.62</v>
      </c>
      <c r="N286" s="40">
        <v>2.23</v>
      </c>
      <c r="O286" s="40">
        <v>8.85</v>
      </c>
      <c r="P286" s="40">
        <v>0</v>
      </c>
      <c r="Q286" s="40">
        <v>99.9999999999999</v>
      </c>
      <c r="R286" s="38"/>
    </row>
    <row r="287" spans="1:18" ht="15">
      <c r="A287" s="21" t="s">
        <v>35</v>
      </c>
      <c r="B287" s="22">
        <v>2155.48</v>
      </c>
      <c r="C287" s="22">
        <v>0</v>
      </c>
      <c r="D287" s="22">
        <v>2155.48</v>
      </c>
      <c r="E287" s="22">
        <v>975.01</v>
      </c>
      <c r="F287" s="22">
        <v>285.35</v>
      </c>
      <c r="G287" s="22">
        <v>338.77</v>
      </c>
      <c r="H287" s="22">
        <v>1599.13</v>
      </c>
      <c r="I287" s="41">
        <v>12.15</v>
      </c>
      <c r="J287" s="41">
        <v>71.55</v>
      </c>
      <c r="K287" s="41">
        <v>1682.83</v>
      </c>
      <c r="L287" s="41">
        <v>472.65000000000055</v>
      </c>
      <c r="M287" s="22">
        <v>323.28</v>
      </c>
      <c r="N287" s="22">
        <v>84.16</v>
      </c>
      <c r="O287" s="41">
        <v>407.44</v>
      </c>
      <c r="P287" s="22">
        <v>63.66000000000006</v>
      </c>
      <c r="Q287" s="41">
        <v>86.20332169681575</v>
      </c>
      <c r="R287" s="38"/>
    </row>
    <row r="288" spans="1:18" ht="12.75">
      <c r="A288" s="44"/>
      <c r="B288" s="45"/>
      <c r="C288" s="45"/>
      <c r="D288" s="45"/>
      <c r="E288" s="45"/>
      <c r="F288" s="45"/>
      <c r="G288" s="45"/>
      <c r="H288" s="45"/>
      <c r="I288" s="33"/>
      <c r="J288" s="33"/>
      <c r="L288" s="33"/>
      <c r="O288" s="33"/>
      <c r="R288" s="26"/>
    </row>
    <row r="289" spans="1:18" ht="18">
      <c r="A289" s="157" t="s">
        <v>84</v>
      </c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26"/>
    </row>
    <row r="290" spans="1:18" ht="18">
      <c r="A290" s="157" t="s">
        <v>97</v>
      </c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26"/>
    </row>
    <row r="291" spans="1:18" ht="15.75">
      <c r="A291" s="158" t="s">
        <v>2</v>
      </c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26"/>
    </row>
    <row r="292" spans="1:18" ht="12.75">
      <c r="A292" s="147" t="s">
        <v>3</v>
      </c>
      <c r="B292" s="153" t="s">
        <v>4</v>
      </c>
      <c r="C292" s="153" t="s">
        <v>5</v>
      </c>
      <c r="D292" s="153" t="s">
        <v>6</v>
      </c>
      <c r="E292" s="152" t="s">
        <v>7</v>
      </c>
      <c r="F292" s="152"/>
      <c r="G292" s="152"/>
      <c r="H292" s="153" t="s">
        <v>8</v>
      </c>
      <c r="I292" s="146" t="s">
        <v>9</v>
      </c>
      <c r="J292" s="146" t="s">
        <v>38</v>
      </c>
      <c r="K292" s="150" t="s">
        <v>11</v>
      </c>
      <c r="L292" s="146" t="s">
        <v>39</v>
      </c>
      <c r="M292" s="147" t="s">
        <v>13</v>
      </c>
      <c r="N292" s="147" t="s">
        <v>14</v>
      </c>
      <c r="O292" s="146" t="s">
        <v>15</v>
      </c>
      <c r="P292" s="147" t="s">
        <v>16</v>
      </c>
      <c r="Q292" s="147" t="s">
        <v>17</v>
      </c>
      <c r="R292" s="148" t="s">
        <v>82</v>
      </c>
    </row>
    <row r="293" spans="1:18" ht="67.5" customHeight="1">
      <c r="A293" s="147"/>
      <c r="B293" s="155"/>
      <c r="C293" s="156"/>
      <c r="D293" s="154"/>
      <c r="E293" s="19" t="s">
        <v>18</v>
      </c>
      <c r="F293" s="19" t="s">
        <v>19</v>
      </c>
      <c r="G293" s="19" t="s">
        <v>20</v>
      </c>
      <c r="H293" s="154"/>
      <c r="I293" s="146"/>
      <c r="J293" s="146"/>
      <c r="K293" s="151"/>
      <c r="L293" s="146"/>
      <c r="M293" s="147"/>
      <c r="N293" s="147"/>
      <c r="O293" s="146"/>
      <c r="P293" s="147"/>
      <c r="Q293" s="147"/>
      <c r="R293" s="149"/>
    </row>
    <row r="294" spans="1:18" ht="14.25">
      <c r="A294" s="20" t="s">
        <v>21</v>
      </c>
      <c r="B294" s="40">
        <v>696.64</v>
      </c>
      <c r="C294" s="40">
        <v>101.31</v>
      </c>
      <c r="D294" s="40">
        <v>797.95</v>
      </c>
      <c r="E294" s="40">
        <v>42.22</v>
      </c>
      <c r="F294" s="40">
        <v>0</v>
      </c>
      <c r="G294" s="40">
        <v>18</v>
      </c>
      <c r="H294" s="40">
        <v>60.22</v>
      </c>
      <c r="I294" s="40">
        <v>0</v>
      </c>
      <c r="J294" s="40">
        <v>0</v>
      </c>
      <c r="K294" s="40">
        <v>60.22</v>
      </c>
      <c r="L294" s="40">
        <v>737.73</v>
      </c>
      <c r="M294" s="40">
        <v>485.6</v>
      </c>
      <c r="N294" s="40">
        <v>117.94</v>
      </c>
      <c r="O294" s="40">
        <v>603.54</v>
      </c>
      <c r="P294" s="40">
        <v>134.19</v>
      </c>
      <c r="Q294" s="6">
        <v>81.81041844577284</v>
      </c>
      <c r="R294" s="38"/>
    </row>
    <row r="295" spans="1:18" ht="14.25">
      <c r="A295" s="20" t="s">
        <v>22</v>
      </c>
      <c r="B295" s="40">
        <v>336.33</v>
      </c>
      <c r="C295" s="40">
        <v>77.39</v>
      </c>
      <c r="D295" s="40">
        <v>413.72</v>
      </c>
      <c r="E295" s="40">
        <v>2.96</v>
      </c>
      <c r="F295" s="40">
        <v>0</v>
      </c>
      <c r="G295" s="40">
        <v>0.77</v>
      </c>
      <c r="H295" s="40">
        <v>3.73</v>
      </c>
      <c r="I295" s="40">
        <v>0.33</v>
      </c>
      <c r="J295" s="40">
        <v>0</v>
      </c>
      <c r="K295" s="40">
        <v>4.06</v>
      </c>
      <c r="L295" s="40">
        <v>409.66</v>
      </c>
      <c r="M295" s="40">
        <v>305.11</v>
      </c>
      <c r="N295" s="40">
        <v>90.32</v>
      </c>
      <c r="O295" s="40">
        <v>395.43</v>
      </c>
      <c r="P295" s="40">
        <v>14.23</v>
      </c>
      <c r="Q295" s="6">
        <v>96.52638773617147</v>
      </c>
      <c r="R295" s="38"/>
    </row>
    <row r="296" spans="1:18" ht="14.25">
      <c r="A296" s="20" t="s">
        <v>23</v>
      </c>
      <c r="B296" s="40">
        <v>245.89</v>
      </c>
      <c r="C296" s="40">
        <v>60.34</v>
      </c>
      <c r="D296" s="40">
        <v>306.23</v>
      </c>
      <c r="E296" s="40">
        <v>6.78</v>
      </c>
      <c r="F296" s="40">
        <v>6.49</v>
      </c>
      <c r="G296" s="40">
        <v>10.37</v>
      </c>
      <c r="H296" s="40">
        <v>23.64</v>
      </c>
      <c r="I296" s="40">
        <v>6.6</v>
      </c>
      <c r="J296" s="40">
        <v>0</v>
      </c>
      <c r="K296" s="40">
        <v>30.24</v>
      </c>
      <c r="L296" s="40">
        <v>275.99</v>
      </c>
      <c r="M296" s="40">
        <v>220.64</v>
      </c>
      <c r="N296" s="40">
        <v>52.07</v>
      </c>
      <c r="O296" s="40">
        <v>272.71</v>
      </c>
      <c r="P296" s="40">
        <v>3.2800000000000296</v>
      </c>
      <c r="Q296" s="6">
        <v>98.81155114315735</v>
      </c>
      <c r="R296" s="38"/>
    </row>
    <row r="297" spans="1:18" ht="14.25">
      <c r="A297" s="20" t="s">
        <v>24</v>
      </c>
      <c r="B297" s="40">
        <v>182.64</v>
      </c>
      <c r="C297" s="40">
        <v>49.58</v>
      </c>
      <c r="D297" s="40">
        <v>232.22</v>
      </c>
      <c r="E297" s="40">
        <v>2.76</v>
      </c>
      <c r="F297" s="40">
        <v>0.57</v>
      </c>
      <c r="G297" s="40">
        <v>3.45</v>
      </c>
      <c r="H297" s="40">
        <v>6.78</v>
      </c>
      <c r="I297" s="40">
        <v>0</v>
      </c>
      <c r="J297" s="40">
        <v>0</v>
      </c>
      <c r="K297" s="40">
        <v>6.78</v>
      </c>
      <c r="L297" s="40">
        <v>225.44</v>
      </c>
      <c r="M297" s="40">
        <v>172.92</v>
      </c>
      <c r="N297" s="40">
        <v>44.51</v>
      </c>
      <c r="O297" s="40">
        <v>217.43</v>
      </c>
      <c r="P297" s="40">
        <v>8.009999999999991</v>
      </c>
      <c r="Q297" s="6">
        <v>96.44694819020583</v>
      </c>
      <c r="R297" s="38"/>
    </row>
    <row r="298" spans="1:18" ht="14.25">
      <c r="A298" s="20" t="s">
        <v>25</v>
      </c>
      <c r="B298" s="40">
        <v>264.48</v>
      </c>
      <c r="C298" s="40">
        <v>95.28</v>
      </c>
      <c r="D298" s="40">
        <v>359.76</v>
      </c>
      <c r="E298" s="40">
        <v>15.58</v>
      </c>
      <c r="F298" s="40">
        <v>5.5</v>
      </c>
      <c r="G298" s="40">
        <v>2.32</v>
      </c>
      <c r="H298" s="40">
        <v>23.4</v>
      </c>
      <c r="I298" s="40">
        <v>0</v>
      </c>
      <c r="J298" s="40">
        <v>0</v>
      </c>
      <c r="K298" s="40">
        <v>23.4</v>
      </c>
      <c r="L298" s="40">
        <v>336.36</v>
      </c>
      <c r="M298" s="40">
        <v>240.11</v>
      </c>
      <c r="N298" s="40">
        <v>84.31</v>
      </c>
      <c r="O298" s="40">
        <v>324.42</v>
      </c>
      <c r="P298" s="40">
        <v>11.94</v>
      </c>
      <c r="Q298" s="6">
        <v>96.45023189439887</v>
      </c>
      <c r="R298" s="38"/>
    </row>
    <row r="299" spans="1:18" ht="14.25">
      <c r="A299" s="20" t="s">
        <v>26</v>
      </c>
      <c r="B299" s="40">
        <v>91.1</v>
      </c>
      <c r="C299" s="40">
        <v>15.14</v>
      </c>
      <c r="D299" s="40">
        <v>106.24</v>
      </c>
      <c r="E299" s="40">
        <v>1.03</v>
      </c>
      <c r="F299" s="40">
        <v>2.64</v>
      </c>
      <c r="G299" s="40">
        <v>2.43</v>
      </c>
      <c r="H299" s="40">
        <v>6.1</v>
      </c>
      <c r="I299" s="40">
        <v>0</v>
      </c>
      <c r="J299" s="40">
        <v>0</v>
      </c>
      <c r="K299" s="40">
        <v>6.1</v>
      </c>
      <c r="L299" s="40">
        <v>100.14</v>
      </c>
      <c r="M299" s="40">
        <v>78.98</v>
      </c>
      <c r="N299" s="40">
        <v>16.47</v>
      </c>
      <c r="O299" s="40">
        <v>95.45</v>
      </c>
      <c r="P299" s="40">
        <v>4.69</v>
      </c>
      <c r="Q299" s="6">
        <v>95.31655682045137</v>
      </c>
      <c r="R299" s="38"/>
    </row>
    <row r="300" spans="1:18" ht="14.25">
      <c r="A300" s="20" t="s">
        <v>27</v>
      </c>
      <c r="B300" s="40">
        <v>977.72</v>
      </c>
      <c r="C300" s="40">
        <v>153.77</v>
      </c>
      <c r="D300" s="40">
        <v>1131.49</v>
      </c>
      <c r="E300" s="40">
        <v>2.99</v>
      </c>
      <c r="F300" s="40">
        <v>0.89</v>
      </c>
      <c r="G300" s="40">
        <v>1.37</v>
      </c>
      <c r="H300" s="40">
        <v>5.25</v>
      </c>
      <c r="I300" s="40">
        <v>0</v>
      </c>
      <c r="J300" s="40">
        <v>0.04</v>
      </c>
      <c r="K300" s="40">
        <v>5.29</v>
      </c>
      <c r="L300" s="40">
        <v>1126.2</v>
      </c>
      <c r="M300" s="40">
        <v>944.91</v>
      </c>
      <c r="N300" s="40">
        <v>174.24</v>
      </c>
      <c r="O300" s="40">
        <v>1119.15</v>
      </c>
      <c r="P300" s="40">
        <v>7.0499999999999545</v>
      </c>
      <c r="Q300" s="6">
        <v>99.37400106553011</v>
      </c>
      <c r="R300" s="38"/>
    </row>
    <row r="301" spans="1:18" ht="14.25">
      <c r="A301" s="20" t="s">
        <v>28</v>
      </c>
      <c r="B301" s="40">
        <v>631.01</v>
      </c>
      <c r="C301" s="40">
        <v>191.79</v>
      </c>
      <c r="D301" s="40">
        <v>822.8</v>
      </c>
      <c r="E301" s="40">
        <v>10.17</v>
      </c>
      <c r="F301" s="40">
        <v>12.12</v>
      </c>
      <c r="G301" s="40">
        <v>13.37</v>
      </c>
      <c r="H301" s="40">
        <v>35.66</v>
      </c>
      <c r="I301" s="40">
        <v>1.13</v>
      </c>
      <c r="J301" s="40">
        <v>0</v>
      </c>
      <c r="K301" s="40">
        <v>36.79</v>
      </c>
      <c r="L301" s="40">
        <v>786.01</v>
      </c>
      <c r="M301" s="40">
        <v>601.32</v>
      </c>
      <c r="N301" s="40">
        <v>175.4</v>
      </c>
      <c r="O301" s="40">
        <v>776.72</v>
      </c>
      <c r="P301" s="40">
        <v>9.289999999999964</v>
      </c>
      <c r="Q301" s="6">
        <v>98.81808119489574</v>
      </c>
      <c r="R301" s="38"/>
    </row>
    <row r="302" spans="1:18" ht="14.25">
      <c r="A302" s="20" t="s">
        <v>29</v>
      </c>
      <c r="B302" s="40">
        <v>224.13</v>
      </c>
      <c r="C302" s="40">
        <v>94.84</v>
      </c>
      <c r="D302" s="40">
        <v>318.97</v>
      </c>
      <c r="E302" s="40">
        <v>12.7</v>
      </c>
      <c r="F302" s="40">
        <v>0.83</v>
      </c>
      <c r="G302" s="40">
        <v>0.55</v>
      </c>
      <c r="H302" s="40">
        <v>14.08</v>
      </c>
      <c r="I302" s="40">
        <v>0</v>
      </c>
      <c r="J302" s="40">
        <v>0</v>
      </c>
      <c r="K302" s="40">
        <v>14.08</v>
      </c>
      <c r="L302" s="40">
        <v>304.89</v>
      </c>
      <c r="M302" s="40">
        <v>199.26</v>
      </c>
      <c r="N302" s="40">
        <v>100.46</v>
      </c>
      <c r="O302" s="40">
        <v>299.72</v>
      </c>
      <c r="P302" s="40">
        <v>5.170000000000073</v>
      </c>
      <c r="Q302" s="6">
        <v>98.30430647118631</v>
      </c>
      <c r="R302" s="38"/>
    </row>
    <row r="303" spans="1:18" ht="14.25">
      <c r="A303" s="20" t="s">
        <v>30</v>
      </c>
      <c r="B303" s="40">
        <v>533.55</v>
      </c>
      <c r="C303" s="40">
        <v>113.18</v>
      </c>
      <c r="D303" s="40">
        <v>646.73</v>
      </c>
      <c r="E303" s="40">
        <v>37.7</v>
      </c>
      <c r="F303" s="40">
        <v>0.92</v>
      </c>
      <c r="G303" s="40">
        <v>31.52</v>
      </c>
      <c r="H303" s="40">
        <v>70.14</v>
      </c>
      <c r="I303" s="40">
        <v>0</v>
      </c>
      <c r="J303" s="40">
        <v>0.52</v>
      </c>
      <c r="K303" s="40">
        <v>70.66</v>
      </c>
      <c r="L303" s="40">
        <v>576.07</v>
      </c>
      <c r="M303" s="40">
        <v>460.74</v>
      </c>
      <c r="N303" s="40">
        <v>113.8</v>
      </c>
      <c r="O303" s="40">
        <v>574.54</v>
      </c>
      <c r="P303" s="40">
        <v>1.5300000000000864</v>
      </c>
      <c r="Q303" s="6">
        <v>99.73440727689342</v>
      </c>
      <c r="R303" s="38"/>
    </row>
    <row r="304" spans="1:18" ht="14.25">
      <c r="A304" s="20" t="s">
        <v>31</v>
      </c>
      <c r="B304" s="40">
        <v>372.96</v>
      </c>
      <c r="C304" s="40">
        <v>114.83</v>
      </c>
      <c r="D304" s="40">
        <v>487.79</v>
      </c>
      <c r="E304" s="40">
        <v>0</v>
      </c>
      <c r="F304" s="40">
        <v>0</v>
      </c>
      <c r="G304" s="40">
        <v>0.12</v>
      </c>
      <c r="H304" s="40">
        <v>0.12</v>
      </c>
      <c r="I304" s="40">
        <v>0</v>
      </c>
      <c r="J304" s="40">
        <v>0</v>
      </c>
      <c r="K304" s="40">
        <v>0.12</v>
      </c>
      <c r="L304" s="40">
        <v>487.67</v>
      </c>
      <c r="M304" s="40">
        <v>329.13</v>
      </c>
      <c r="N304" s="40">
        <v>156.91</v>
      </c>
      <c r="O304" s="40">
        <v>486.04</v>
      </c>
      <c r="P304" s="40">
        <v>1.63</v>
      </c>
      <c r="Q304" s="6">
        <v>99.66575758197142</v>
      </c>
      <c r="R304" s="38"/>
    </row>
    <row r="305" spans="1:18" ht="14.25">
      <c r="A305" s="20" t="s">
        <v>32</v>
      </c>
      <c r="B305" s="40">
        <v>92.91</v>
      </c>
      <c r="C305" s="40">
        <v>23.15</v>
      </c>
      <c r="D305" s="40">
        <v>116.06</v>
      </c>
      <c r="E305" s="40">
        <v>0</v>
      </c>
      <c r="F305" s="40">
        <v>2.5</v>
      </c>
      <c r="G305" s="40">
        <v>3.49</v>
      </c>
      <c r="H305" s="40">
        <v>5.99</v>
      </c>
      <c r="I305" s="40">
        <v>0.86</v>
      </c>
      <c r="J305" s="40">
        <v>0</v>
      </c>
      <c r="K305" s="40">
        <v>6.85</v>
      </c>
      <c r="L305" s="40">
        <v>109.21</v>
      </c>
      <c r="M305" s="40">
        <v>84.49</v>
      </c>
      <c r="N305" s="40">
        <v>24.74</v>
      </c>
      <c r="O305" s="40">
        <v>109.23</v>
      </c>
      <c r="P305" s="40">
        <v>-0.01999999999998181</v>
      </c>
      <c r="Q305" s="6">
        <v>100.01831334126909</v>
      </c>
      <c r="R305" s="38" t="s">
        <v>83</v>
      </c>
    </row>
    <row r="306" spans="1:18" ht="14.25">
      <c r="A306" s="20" t="s">
        <v>33</v>
      </c>
      <c r="B306" s="40">
        <v>325.91</v>
      </c>
      <c r="C306" s="40">
        <v>82.74</v>
      </c>
      <c r="D306" s="40">
        <v>408.65</v>
      </c>
      <c r="E306" s="40">
        <v>10.62</v>
      </c>
      <c r="F306" s="40">
        <v>0</v>
      </c>
      <c r="G306" s="40">
        <v>0</v>
      </c>
      <c r="H306" s="40">
        <v>10.62</v>
      </c>
      <c r="I306" s="40">
        <v>0</v>
      </c>
      <c r="J306" s="40">
        <v>0</v>
      </c>
      <c r="K306" s="40">
        <v>10.62</v>
      </c>
      <c r="L306" s="40">
        <v>398.03</v>
      </c>
      <c r="M306" s="40">
        <v>311.96</v>
      </c>
      <c r="N306" s="40">
        <v>83.7</v>
      </c>
      <c r="O306" s="40">
        <v>395.66</v>
      </c>
      <c r="P306" s="40">
        <v>2.3700000000000614</v>
      </c>
      <c r="Q306" s="6">
        <v>99.40456749491243</v>
      </c>
      <c r="R306" s="38"/>
    </row>
    <row r="307" spans="1:18" ht="14.25">
      <c r="A307" s="20" t="s">
        <v>34</v>
      </c>
      <c r="B307" s="40">
        <v>215.15</v>
      </c>
      <c r="C307" s="40">
        <v>64.14</v>
      </c>
      <c r="D307" s="40">
        <v>279.29</v>
      </c>
      <c r="E307" s="40">
        <v>1.07</v>
      </c>
      <c r="F307" s="40">
        <v>1.37</v>
      </c>
      <c r="G307" s="40">
        <v>14.2</v>
      </c>
      <c r="H307" s="40">
        <v>16.64</v>
      </c>
      <c r="I307" s="40">
        <v>0.37</v>
      </c>
      <c r="J307" s="40">
        <v>0</v>
      </c>
      <c r="K307" s="40">
        <v>17.01</v>
      </c>
      <c r="L307" s="40">
        <v>262.28</v>
      </c>
      <c r="M307" s="40">
        <v>199.48</v>
      </c>
      <c r="N307" s="40">
        <v>61.2</v>
      </c>
      <c r="O307" s="40">
        <v>260.68</v>
      </c>
      <c r="P307" s="40">
        <v>1.6000000000000227</v>
      </c>
      <c r="Q307" s="6">
        <v>99.38996492298307</v>
      </c>
      <c r="R307" s="38"/>
    </row>
    <row r="308" spans="1:18" ht="15">
      <c r="A308" s="21" t="s">
        <v>35</v>
      </c>
      <c r="B308" s="22">
        <v>5190.42</v>
      </c>
      <c r="C308" s="22">
        <v>1237.48</v>
      </c>
      <c r="D308" s="22">
        <v>6427.9</v>
      </c>
      <c r="E308" s="22">
        <v>146.58</v>
      </c>
      <c r="F308" s="22">
        <v>33.83</v>
      </c>
      <c r="G308" s="22">
        <v>101.96</v>
      </c>
      <c r="H308" s="22">
        <v>282.37</v>
      </c>
      <c r="I308" s="41">
        <v>9.29</v>
      </c>
      <c r="J308" s="41">
        <v>0.56</v>
      </c>
      <c r="K308" s="41">
        <v>292.22</v>
      </c>
      <c r="L308" s="41">
        <v>6135.68</v>
      </c>
      <c r="M308" s="22">
        <v>4634.65</v>
      </c>
      <c r="N308" s="22">
        <v>1296.07</v>
      </c>
      <c r="O308" s="41">
        <v>5930.72</v>
      </c>
      <c r="P308" s="41">
        <v>204.96</v>
      </c>
      <c r="Q308" s="22">
        <v>96.65953895900698</v>
      </c>
      <c r="R308" s="38"/>
    </row>
    <row r="309" spans="1:18" ht="12.75">
      <c r="A309" s="44"/>
      <c r="I309" s="33"/>
      <c r="J309" s="33"/>
      <c r="L309" s="33"/>
      <c r="O309" s="33"/>
      <c r="R309" s="26"/>
    </row>
    <row r="310" spans="1:18" ht="18">
      <c r="A310" s="157" t="s">
        <v>84</v>
      </c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26"/>
    </row>
    <row r="311" spans="1:18" ht="18">
      <c r="A311" s="157" t="s">
        <v>98</v>
      </c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26"/>
    </row>
    <row r="312" spans="1:18" ht="15.75">
      <c r="A312" s="158" t="s">
        <v>2</v>
      </c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26"/>
    </row>
    <row r="313" spans="1:18" ht="12.75">
      <c r="A313" s="147" t="s">
        <v>3</v>
      </c>
      <c r="B313" s="153" t="s">
        <v>4</v>
      </c>
      <c r="C313" s="153" t="s">
        <v>5</v>
      </c>
      <c r="D313" s="153" t="s">
        <v>6</v>
      </c>
      <c r="E313" s="152" t="s">
        <v>7</v>
      </c>
      <c r="F313" s="152"/>
      <c r="G313" s="152"/>
      <c r="H313" s="153" t="s">
        <v>8</v>
      </c>
      <c r="I313" s="146" t="s">
        <v>9</v>
      </c>
      <c r="J313" s="146" t="s">
        <v>38</v>
      </c>
      <c r="K313" s="150" t="s">
        <v>11</v>
      </c>
      <c r="L313" s="146" t="s">
        <v>39</v>
      </c>
      <c r="M313" s="147" t="s">
        <v>13</v>
      </c>
      <c r="N313" s="147" t="s">
        <v>14</v>
      </c>
      <c r="O313" s="146" t="s">
        <v>15</v>
      </c>
      <c r="P313" s="147" t="s">
        <v>16</v>
      </c>
      <c r="Q313" s="147" t="s">
        <v>17</v>
      </c>
      <c r="R313" s="148" t="s">
        <v>82</v>
      </c>
    </row>
    <row r="314" spans="1:18" ht="67.5" customHeight="1">
      <c r="A314" s="147"/>
      <c r="B314" s="155"/>
      <c r="C314" s="156"/>
      <c r="D314" s="154"/>
      <c r="E314" s="19" t="s">
        <v>18</v>
      </c>
      <c r="F314" s="19" t="s">
        <v>19</v>
      </c>
      <c r="G314" s="19" t="s">
        <v>20</v>
      </c>
      <c r="H314" s="154"/>
      <c r="I314" s="146"/>
      <c r="J314" s="146"/>
      <c r="K314" s="151"/>
      <c r="L314" s="146"/>
      <c r="M314" s="147"/>
      <c r="N314" s="147"/>
      <c r="O314" s="146"/>
      <c r="P314" s="147"/>
      <c r="Q314" s="147"/>
      <c r="R314" s="149"/>
    </row>
    <row r="315" spans="1:18" ht="14.25">
      <c r="A315" s="20" t="s">
        <v>21</v>
      </c>
      <c r="B315" s="40">
        <v>16.45</v>
      </c>
      <c r="C315" s="40">
        <v>0</v>
      </c>
      <c r="D315" s="40">
        <v>16.45</v>
      </c>
      <c r="E315" s="40">
        <v>0.64</v>
      </c>
      <c r="F315" s="40">
        <v>0</v>
      </c>
      <c r="G315" s="40">
        <v>1.46</v>
      </c>
      <c r="H315" s="40">
        <v>2.1</v>
      </c>
      <c r="I315" s="40">
        <v>0.18</v>
      </c>
      <c r="J315" s="40">
        <v>0.7</v>
      </c>
      <c r="K315" s="40">
        <v>2.98</v>
      </c>
      <c r="L315" s="40">
        <v>13.47</v>
      </c>
      <c r="M315" s="40">
        <v>6.03</v>
      </c>
      <c r="N315" s="40">
        <v>3.11</v>
      </c>
      <c r="O315" s="40">
        <v>9.14</v>
      </c>
      <c r="P315" s="40">
        <v>4.33</v>
      </c>
      <c r="Q315" s="40">
        <v>67.85449146250929</v>
      </c>
      <c r="R315" s="38"/>
    </row>
    <row r="316" spans="1:18" ht="14.25">
      <c r="A316" s="20" t="s">
        <v>22</v>
      </c>
      <c r="B316" s="40">
        <v>6.1</v>
      </c>
      <c r="C316" s="40">
        <v>0</v>
      </c>
      <c r="D316" s="40">
        <v>6.1</v>
      </c>
      <c r="E316" s="40">
        <v>0.46</v>
      </c>
      <c r="F316" s="40">
        <v>0.06</v>
      </c>
      <c r="G316" s="40">
        <v>2.45</v>
      </c>
      <c r="H316" s="40">
        <v>2.97</v>
      </c>
      <c r="I316" s="40">
        <v>0.52</v>
      </c>
      <c r="J316" s="40">
        <v>0</v>
      </c>
      <c r="K316" s="40">
        <v>3.49</v>
      </c>
      <c r="L316" s="40">
        <v>2.61</v>
      </c>
      <c r="M316" s="40">
        <v>1.75</v>
      </c>
      <c r="N316" s="40">
        <v>0.68</v>
      </c>
      <c r="O316" s="40">
        <v>2.43</v>
      </c>
      <c r="P316" s="40">
        <v>0.17999999999999927</v>
      </c>
      <c r="Q316" s="40">
        <v>93.10344827586209</v>
      </c>
      <c r="R316" s="38"/>
    </row>
    <row r="317" spans="1:18" ht="14.25">
      <c r="A317" s="20" t="s">
        <v>23</v>
      </c>
      <c r="B317" s="40">
        <v>0.75</v>
      </c>
      <c r="C317" s="40">
        <v>0</v>
      </c>
      <c r="D317" s="40">
        <v>0.75</v>
      </c>
      <c r="E317" s="40">
        <v>0.07</v>
      </c>
      <c r="F317" s="40">
        <v>0</v>
      </c>
      <c r="G317" s="40">
        <v>0.4</v>
      </c>
      <c r="H317" s="40">
        <v>0.47</v>
      </c>
      <c r="I317" s="40">
        <v>0</v>
      </c>
      <c r="J317" s="40">
        <v>0.06</v>
      </c>
      <c r="K317" s="40">
        <v>0.53</v>
      </c>
      <c r="L317" s="40">
        <v>0.22</v>
      </c>
      <c r="M317" s="40">
        <v>0.22</v>
      </c>
      <c r="N317" s="40">
        <v>0</v>
      </c>
      <c r="O317" s="40">
        <v>0.22</v>
      </c>
      <c r="P317" s="40">
        <v>0</v>
      </c>
      <c r="Q317" s="40">
        <v>0</v>
      </c>
      <c r="R317" s="38"/>
    </row>
    <row r="318" spans="1:18" ht="14.25">
      <c r="A318" s="20" t="s">
        <v>24</v>
      </c>
      <c r="B318" s="40">
        <v>7.17</v>
      </c>
      <c r="C318" s="40">
        <v>0</v>
      </c>
      <c r="D318" s="40">
        <v>7.17</v>
      </c>
      <c r="E318" s="40">
        <v>1.72</v>
      </c>
      <c r="F318" s="40">
        <v>0.36</v>
      </c>
      <c r="G318" s="40">
        <v>1.62</v>
      </c>
      <c r="H318" s="40">
        <v>3.7</v>
      </c>
      <c r="I318" s="40">
        <v>0</v>
      </c>
      <c r="J318" s="40">
        <v>1.37</v>
      </c>
      <c r="K318" s="40">
        <v>5.07</v>
      </c>
      <c r="L318" s="40">
        <v>2.1</v>
      </c>
      <c r="M318" s="40">
        <v>2.22</v>
      </c>
      <c r="N318" s="40">
        <v>0.24</v>
      </c>
      <c r="O318" s="40">
        <v>2.46</v>
      </c>
      <c r="P318" s="40">
        <v>-0.36</v>
      </c>
      <c r="Q318" s="40">
        <v>117.14285714285717</v>
      </c>
      <c r="R318" s="38" t="s">
        <v>83</v>
      </c>
    </row>
    <row r="319" spans="1:18" ht="14.25">
      <c r="A319" s="20" t="s">
        <v>25</v>
      </c>
      <c r="B319" s="40">
        <v>1.81</v>
      </c>
      <c r="C319" s="40">
        <v>0</v>
      </c>
      <c r="D319" s="40">
        <v>1.81</v>
      </c>
      <c r="E319" s="40">
        <v>0.3</v>
      </c>
      <c r="F319" s="40">
        <v>0.06</v>
      </c>
      <c r="G319" s="40">
        <v>0.16</v>
      </c>
      <c r="H319" s="40">
        <v>0.52</v>
      </c>
      <c r="I319" s="40">
        <v>0</v>
      </c>
      <c r="J319" s="40">
        <v>0.12</v>
      </c>
      <c r="K319" s="40">
        <v>0.64</v>
      </c>
      <c r="L319" s="40">
        <v>1.17</v>
      </c>
      <c r="M319" s="40">
        <v>1.03</v>
      </c>
      <c r="N319" s="40">
        <v>0.14</v>
      </c>
      <c r="O319" s="40">
        <v>1.17</v>
      </c>
      <c r="P319" s="40">
        <v>0</v>
      </c>
      <c r="Q319" s="40">
        <v>100</v>
      </c>
      <c r="R319" s="39"/>
    </row>
    <row r="320" spans="1:18" ht="14.25">
      <c r="A320" s="20" t="s">
        <v>26</v>
      </c>
      <c r="B320" s="40">
        <v>1.02</v>
      </c>
      <c r="C320" s="40">
        <v>0</v>
      </c>
      <c r="D320" s="40">
        <v>1.02</v>
      </c>
      <c r="E320" s="40">
        <v>0.18</v>
      </c>
      <c r="F320" s="40">
        <v>0</v>
      </c>
      <c r="G320" s="40">
        <v>0.11</v>
      </c>
      <c r="H320" s="40">
        <v>0.29</v>
      </c>
      <c r="I320" s="40">
        <v>0</v>
      </c>
      <c r="J320" s="40">
        <v>0.15</v>
      </c>
      <c r="K320" s="40">
        <v>0.44</v>
      </c>
      <c r="L320" s="40">
        <v>0.58</v>
      </c>
      <c r="M320" s="40">
        <v>0.35</v>
      </c>
      <c r="N320" s="40">
        <v>0.2</v>
      </c>
      <c r="O320" s="40">
        <v>0.55</v>
      </c>
      <c r="P320" s="40">
        <v>0.03</v>
      </c>
      <c r="Q320" s="40">
        <v>94.82758620689656</v>
      </c>
      <c r="R320" s="38"/>
    </row>
    <row r="321" spans="1:18" ht="14.25">
      <c r="A321" s="20" t="s">
        <v>27</v>
      </c>
      <c r="B321" s="40">
        <v>7.89</v>
      </c>
      <c r="C321" s="40">
        <v>0</v>
      </c>
      <c r="D321" s="40">
        <v>7.89</v>
      </c>
      <c r="E321" s="40">
        <v>1.12</v>
      </c>
      <c r="F321" s="40">
        <v>0.62</v>
      </c>
      <c r="G321" s="40">
        <v>1.79</v>
      </c>
      <c r="H321" s="40">
        <v>3.53</v>
      </c>
      <c r="I321" s="40">
        <v>0</v>
      </c>
      <c r="J321" s="40">
        <v>0.26</v>
      </c>
      <c r="K321" s="40">
        <v>3.79</v>
      </c>
      <c r="L321" s="40">
        <v>4.1</v>
      </c>
      <c r="M321" s="40">
        <v>3.16</v>
      </c>
      <c r="N321" s="40">
        <v>0.34</v>
      </c>
      <c r="O321" s="40">
        <v>3.5</v>
      </c>
      <c r="P321" s="40">
        <v>0.6</v>
      </c>
      <c r="Q321" s="40">
        <v>85.3658536585366</v>
      </c>
      <c r="R321" s="38"/>
    </row>
    <row r="322" spans="1:18" ht="14.25">
      <c r="A322" s="20" t="s">
        <v>28</v>
      </c>
      <c r="B322" s="40">
        <v>4.98</v>
      </c>
      <c r="C322" s="40">
        <v>0</v>
      </c>
      <c r="D322" s="40">
        <v>4.98</v>
      </c>
      <c r="E322" s="40">
        <v>1.33</v>
      </c>
      <c r="F322" s="40">
        <v>0</v>
      </c>
      <c r="G322" s="40">
        <v>0.48</v>
      </c>
      <c r="H322" s="40">
        <v>1.81</v>
      </c>
      <c r="I322" s="40">
        <v>0.26</v>
      </c>
      <c r="J322" s="40">
        <v>0.22</v>
      </c>
      <c r="K322" s="40">
        <v>2.29</v>
      </c>
      <c r="L322" s="40">
        <v>2.69</v>
      </c>
      <c r="M322" s="40">
        <v>2.67</v>
      </c>
      <c r="N322" s="40">
        <v>0</v>
      </c>
      <c r="O322" s="40">
        <v>2.67</v>
      </c>
      <c r="P322" s="40">
        <v>0.02</v>
      </c>
      <c r="Q322" s="40">
        <v>99.25650557620817</v>
      </c>
      <c r="R322" s="38"/>
    </row>
    <row r="323" spans="1:18" ht="14.25">
      <c r="A323" s="20" t="s">
        <v>29</v>
      </c>
      <c r="B323" s="40">
        <v>8.26</v>
      </c>
      <c r="C323" s="40">
        <v>0</v>
      </c>
      <c r="D323" s="40">
        <v>8.26</v>
      </c>
      <c r="E323" s="40">
        <v>0.78</v>
      </c>
      <c r="F323" s="40">
        <v>0.22</v>
      </c>
      <c r="G323" s="40">
        <v>0.46</v>
      </c>
      <c r="H323" s="40">
        <v>1.46</v>
      </c>
      <c r="I323" s="40">
        <v>0</v>
      </c>
      <c r="J323" s="40">
        <v>0</v>
      </c>
      <c r="K323" s="40">
        <v>1.46</v>
      </c>
      <c r="L323" s="40">
        <v>6.8</v>
      </c>
      <c r="M323" s="40">
        <v>3.28</v>
      </c>
      <c r="N323" s="40">
        <v>0.33</v>
      </c>
      <c r="O323" s="40">
        <v>3.61</v>
      </c>
      <c r="P323" s="40">
        <v>3.19</v>
      </c>
      <c r="Q323" s="40">
        <v>53.088235294117645</v>
      </c>
      <c r="R323" s="39"/>
    </row>
    <row r="324" spans="1:18" ht="14.25">
      <c r="A324" s="20" t="s">
        <v>30</v>
      </c>
      <c r="B324" s="40">
        <v>4.3</v>
      </c>
      <c r="C324" s="40">
        <v>0</v>
      </c>
      <c r="D324" s="40">
        <v>4.3</v>
      </c>
      <c r="E324" s="40">
        <v>0.69</v>
      </c>
      <c r="F324" s="40">
        <v>0.46</v>
      </c>
      <c r="G324" s="40">
        <v>0.79</v>
      </c>
      <c r="H324" s="40">
        <v>1.94</v>
      </c>
      <c r="I324" s="40">
        <v>0</v>
      </c>
      <c r="J324" s="40">
        <v>0.88</v>
      </c>
      <c r="K324" s="40">
        <v>2.82</v>
      </c>
      <c r="L324" s="40">
        <v>1.48</v>
      </c>
      <c r="M324" s="40">
        <v>1.1</v>
      </c>
      <c r="N324" s="40">
        <v>0.13</v>
      </c>
      <c r="O324" s="40">
        <v>1.23</v>
      </c>
      <c r="P324" s="40">
        <v>0.25</v>
      </c>
      <c r="Q324" s="40">
        <v>83.1081081081081</v>
      </c>
      <c r="R324" s="38"/>
    </row>
    <row r="325" spans="1:18" ht="14.25">
      <c r="A325" s="20" t="s">
        <v>31</v>
      </c>
      <c r="B325" s="40">
        <v>3.27</v>
      </c>
      <c r="C325" s="40">
        <v>0</v>
      </c>
      <c r="D325" s="40">
        <v>3.27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3.27</v>
      </c>
      <c r="M325" s="40">
        <v>3.01</v>
      </c>
      <c r="N325" s="40">
        <v>0.02</v>
      </c>
      <c r="O325" s="40">
        <v>3.03</v>
      </c>
      <c r="P325" s="40">
        <v>0.24</v>
      </c>
      <c r="Q325" s="40">
        <v>92.66055045871559</v>
      </c>
      <c r="R325" s="38"/>
    </row>
    <row r="326" spans="1:18" ht="14.25">
      <c r="A326" s="20" t="s">
        <v>32</v>
      </c>
      <c r="B326" s="40">
        <v>1.58</v>
      </c>
      <c r="C326" s="40">
        <v>0</v>
      </c>
      <c r="D326" s="40">
        <v>1.58</v>
      </c>
      <c r="E326" s="40">
        <v>0.16</v>
      </c>
      <c r="F326" s="40">
        <v>0.18</v>
      </c>
      <c r="G326" s="40">
        <v>0.5</v>
      </c>
      <c r="H326" s="40">
        <v>0.84</v>
      </c>
      <c r="I326" s="40">
        <v>0</v>
      </c>
      <c r="J326" s="40">
        <v>0.16</v>
      </c>
      <c r="K326" s="40">
        <v>1</v>
      </c>
      <c r="L326" s="40">
        <v>0.58</v>
      </c>
      <c r="M326" s="40">
        <v>0.58</v>
      </c>
      <c r="N326" s="40">
        <v>0</v>
      </c>
      <c r="O326" s="40">
        <v>0.58</v>
      </c>
      <c r="P326" s="40">
        <v>0</v>
      </c>
      <c r="Q326" s="40">
        <v>100</v>
      </c>
      <c r="R326" s="38"/>
    </row>
    <row r="327" spans="1:18" ht="14.25">
      <c r="A327" s="20" t="s">
        <v>33</v>
      </c>
      <c r="B327" s="40">
        <v>1.46</v>
      </c>
      <c r="C327" s="40">
        <v>0</v>
      </c>
      <c r="D327" s="40">
        <v>1.46</v>
      </c>
      <c r="E327" s="40">
        <v>0.22</v>
      </c>
      <c r="F327" s="40">
        <v>0</v>
      </c>
      <c r="G327" s="40">
        <v>0.34</v>
      </c>
      <c r="H327" s="40">
        <v>0.56</v>
      </c>
      <c r="I327" s="40">
        <v>0</v>
      </c>
      <c r="J327" s="40">
        <v>0</v>
      </c>
      <c r="K327" s="40">
        <v>0.56</v>
      </c>
      <c r="L327" s="40">
        <v>0.9</v>
      </c>
      <c r="M327" s="40">
        <v>1.92</v>
      </c>
      <c r="N327" s="40">
        <v>0.14</v>
      </c>
      <c r="O327" s="40">
        <v>2.06</v>
      </c>
      <c r="P327" s="40">
        <v>-1.16</v>
      </c>
      <c r="Q327" s="40">
        <v>228.8888888888889</v>
      </c>
      <c r="R327" s="38" t="s">
        <v>83</v>
      </c>
    </row>
    <row r="328" spans="1:18" ht="14.25">
      <c r="A328" s="20" t="s">
        <v>34</v>
      </c>
      <c r="B328" s="40">
        <v>5.77</v>
      </c>
      <c r="C328" s="40">
        <v>0</v>
      </c>
      <c r="D328" s="40">
        <v>5.77</v>
      </c>
      <c r="E328" s="40">
        <v>0.14</v>
      </c>
      <c r="F328" s="40">
        <v>0</v>
      </c>
      <c r="G328" s="40">
        <v>1.41</v>
      </c>
      <c r="H328" s="40">
        <v>1.55</v>
      </c>
      <c r="I328" s="40">
        <v>0.88</v>
      </c>
      <c r="J328" s="40">
        <v>0</v>
      </c>
      <c r="K328" s="40">
        <v>2.43</v>
      </c>
      <c r="L328" s="40">
        <v>3.34</v>
      </c>
      <c r="M328" s="40">
        <v>2.75</v>
      </c>
      <c r="N328" s="40">
        <v>0.53</v>
      </c>
      <c r="O328" s="40">
        <v>3.28</v>
      </c>
      <c r="P328" s="40">
        <v>0.05999999999999961</v>
      </c>
      <c r="Q328" s="40">
        <v>98.20359281437126</v>
      </c>
      <c r="R328" s="38"/>
    </row>
    <row r="329" spans="1:18" ht="15">
      <c r="A329" s="21" t="s">
        <v>35</v>
      </c>
      <c r="B329" s="22">
        <v>70.81</v>
      </c>
      <c r="C329" s="22">
        <v>0</v>
      </c>
      <c r="D329" s="22">
        <v>70.81</v>
      </c>
      <c r="E329" s="22">
        <v>7.81</v>
      </c>
      <c r="F329" s="22">
        <v>1.96</v>
      </c>
      <c r="G329" s="22">
        <v>11.97</v>
      </c>
      <c r="H329" s="22">
        <v>21.74</v>
      </c>
      <c r="I329" s="41">
        <v>1.84</v>
      </c>
      <c r="J329" s="41">
        <v>3.92</v>
      </c>
      <c r="K329" s="41">
        <v>27.5</v>
      </c>
      <c r="L329" s="41">
        <v>43.31</v>
      </c>
      <c r="M329" s="22">
        <v>30.07</v>
      </c>
      <c r="N329" s="22">
        <v>5.86</v>
      </c>
      <c r="O329" s="41">
        <v>35.93</v>
      </c>
      <c r="P329" s="41">
        <v>7.379999999999988</v>
      </c>
      <c r="Q329" s="41">
        <v>82.96005541445396</v>
      </c>
      <c r="R329" s="38"/>
    </row>
    <row r="330" spans="1:18" ht="12.75">
      <c r="A330" s="44"/>
      <c r="I330" s="33"/>
      <c r="J330" s="33"/>
      <c r="L330" s="33"/>
      <c r="O330" s="33"/>
      <c r="R330" s="26"/>
    </row>
    <row r="331" spans="1:18" ht="18">
      <c r="A331" s="157" t="s">
        <v>84</v>
      </c>
      <c r="B331" s="157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26"/>
    </row>
    <row r="332" spans="1:18" ht="18">
      <c r="A332" s="157" t="s">
        <v>99</v>
      </c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26"/>
    </row>
    <row r="333" spans="1:18" ht="15.75">
      <c r="A333" s="158" t="s">
        <v>2</v>
      </c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26"/>
    </row>
    <row r="334" spans="1:18" ht="12.75">
      <c r="A334" s="147" t="s">
        <v>3</v>
      </c>
      <c r="B334" s="153" t="s">
        <v>4</v>
      </c>
      <c r="C334" s="153" t="s">
        <v>5</v>
      </c>
      <c r="D334" s="153" t="s">
        <v>6</v>
      </c>
      <c r="E334" s="152" t="s">
        <v>7</v>
      </c>
      <c r="F334" s="152"/>
      <c r="G334" s="152"/>
      <c r="H334" s="153" t="s">
        <v>8</v>
      </c>
      <c r="I334" s="146" t="s">
        <v>9</v>
      </c>
      <c r="J334" s="146" t="s">
        <v>38</v>
      </c>
      <c r="K334" s="150" t="s">
        <v>11</v>
      </c>
      <c r="L334" s="146" t="s">
        <v>39</v>
      </c>
      <c r="M334" s="147" t="s">
        <v>13</v>
      </c>
      <c r="N334" s="147" t="s">
        <v>14</v>
      </c>
      <c r="O334" s="146" t="s">
        <v>15</v>
      </c>
      <c r="P334" s="147" t="s">
        <v>16</v>
      </c>
      <c r="Q334" s="147" t="s">
        <v>17</v>
      </c>
      <c r="R334" s="148" t="s">
        <v>82</v>
      </c>
    </row>
    <row r="335" spans="1:18" ht="67.5" customHeight="1">
      <c r="A335" s="147"/>
      <c r="B335" s="155"/>
      <c r="C335" s="156"/>
      <c r="D335" s="154"/>
      <c r="E335" s="19" t="s">
        <v>18</v>
      </c>
      <c r="F335" s="19" t="s">
        <v>19</v>
      </c>
      <c r="G335" s="19" t="s">
        <v>20</v>
      </c>
      <c r="H335" s="154"/>
      <c r="I335" s="146"/>
      <c r="J335" s="146"/>
      <c r="K335" s="151"/>
      <c r="L335" s="146"/>
      <c r="M335" s="147"/>
      <c r="N335" s="147"/>
      <c r="O335" s="146"/>
      <c r="P335" s="147"/>
      <c r="Q335" s="147"/>
      <c r="R335" s="149"/>
    </row>
    <row r="336" spans="1:18" ht="14.25">
      <c r="A336" s="20" t="s">
        <v>21</v>
      </c>
      <c r="B336" s="40">
        <v>26.34</v>
      </c>
      <c r="C336" s="40">
        <v>2.38</v>
      </c>
      <c r="D336" s="40">
        <v>28.72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0.06</v>
      </c>
      <c r="K336" s="40">
        <v>0.06</v>
      </c>
      <c r="L336" s="40">
        <v>28.66</v>
      </c>
      <c r="M336" s="40">
        <v>12.69</v>
      </c>
      <c r="N336" s="40">
        <v>5.9</v>
      </c>
      <c r="O336" s="40">
        <v>18.59</v>
      </c>
      <c r="P336" s="40">
        <v>10.07</v>
      </c>
      <c r="Q336" s="6">
        <v>64.8639218422889</v>
      </c>
      <c r="R336" s="38"/>
    </row>
    <row r="337" spans="1:18" ht="14.25">
      <c r="A337" s="20" t="s">
        <v>22</v>
      </c>
      <c r="B337" s="40">
        <v>25.5</v>
      </c>
      <c r="C337" s="40">
        <v>5</v>
      </c>
      <c r="D337" s="40">
        <v>30.5</v>
      </c>
      <c r="E337" s="40">
        <v>0.1</v>
      </c>
      <c r="F337" s="40">
        <v>0</v>
      </c>
      <c r="G337" s="40">
        <v>0.65</v>
      </c>
      <c r="H337" s="40">
        <v>0.75</v>
      </c>
      <c r="I337" s="40">
        <v>0</v>
      </c>
      <c r="J337" s="40">
        <v>0</v>
      </c>
      <c r="K337" s="40">
        <v>0.75</v>
      </c>
      <c r="L337" s="40">
        <v>29.75</v>
      </c>
      <c r="M337" s="40">
        <v>15.13</v>
      </c>
      <c r="N337" s="40">
        <v>12.86</v>
      </c>
      <c r="O337" s="40">
        <v>27.99</v>
      </c>
      <c r="P337" s="40">
        <v>1.76</v>
      </c>
      <c r="Q337" s="6">
        <v>94.08403361344538</v>
      </c>
      <c r="R337" s="38"/>
    </row>
    <row r="338" spans="1:18" ht="14.25">
      <c r="A338" s="20" t="s">
        <v>23</v>
      </c>
      <c r="B338" s="40">
        <v>28.11</v>
      </c>
      <c r="C338" s="40">
        <v>6.47</v>
      </c>
      <c r="D338" s="40">
        <v>34.58</v>
      </c>
      <c r="E338" s="40">
        <v>0.16</v>
      </c>
      <c r="F338" s="40">
        <v>0</v>
      </c>
      <c r="G338" s="40">
        <v>1.42</v>
      </c>
      <c r="H338" s="40">
        <v>1.58</v>
      </c>
      <c r="I338" s="40">
        <v>0</v>
      </c>
      <c r="J338" s="40">
        <v>0.18</v>
      </c>
      <c r="K338" s="40">
        <v>1.76</v>
      </c>
      <c r="L338" s="40">
        <v>32.82</v>
      </c>
      <c r="M338" s="40">
        <v>24.09</v>
      </c>
      <c r="N338" s="40">
        <v>8.93</v>
      </c>
      <c r="O338" s="40">
        <v>33.02</v>
      </c>
      <c r="P338" s="40">
        <v>-0.19999999999999574</v>
      </c>
      <c r="Q338" s="6">
        <v>100.60938452163313</v>
      </c>
      <c r="R338" s="38" t="s">
        <v>83</v>
      </c>
    </row>
    <row r="339" spans="1:18" ht="14.25">
      <c r="A339" s="20" t="s">
        <v>24</v>
      </c>
      <c r="B339" s="40">
        <v>20.46</v>
      </c>
      <c r="C339" s="40">
        <v>2.3</v>
      </c>
      <c r="D339" s="40">
        <v>22.76</v>
      </c>
      <c r="E339" s="40">
        <v>0.04</v>
      </c>
      <c r="F339" s="40">
        <v>0.02</v>
      </c>
      <c r="G339" s="40">
        <v>0.38</v>
      </c>
      <c r="H339" s="40">
        <v>0.44</v>
      </c>
      <c r="I339" s="40">
        <v>0</v>
      </c>
      <c r="J339" s="40">
        <v>0.44</v>
      </c>
      <c r="K339" s="40">
        <v>0.88</v>
      </c>
      <c r="L339" s="40">
        <v>21.88</v>
      </c>
      <c r="M339" s="40">
        <v>12.37</v>
      </c>
      <c r="N339" s="40">
        <v>7.58</v>
      </c>
      <c r="O339" s="40">
        <v>19.95</v>
      </c>
      <c r="P339" s="40">
        <v>1.93</v>
      </c>
      <c r="Q339" s="6">
        <v>91.17915904936014</v>
      </c>
      <c r="R339" s="39"/>
    </row>
    <row r="340" spans="1:18" ht="14.25">
      <c r="A340" s="20" t="s">
        <v>25</v>
      </c>
      <c r="B340" s="40">
        <v>31.98</v>
      </c>
      <c r="C340" s="40">
        <v>9.76</v>
      </c>
      <c r="D340" s="40">
        <v>41.74</v>
      </c>
      <c r="E340" s="40">
        <v>0.02</v>
      </c>
      <c r="F340" s="40">
        <v>0</v>
      </c>
      <c r="G340" s="40">
        <v>0.16</v>
      </c>
      <c r="H340" s="40">
        <v>0.18</v>
      </c>
      <c r="I340" s="40">
        <v>0</v>
      </c>
      <c r="J340" s="40">
        <v>0.02</v>
      </c>
      <c r="K340" s="40">
        <v>0.2</v>
      </c>
      <c r="L340" s="40">
        <v>41.54</v>
      </c>
      <c r="M340" s="40">
        <v>23.79</v>
      </c>
      <c r="N340" s="40">
        <v>17.44</v>
      </c>
      <c r="O340" s="40">
        <v>41.23</v>
      </c>
      <c r="P340" s="40">
        <v>0.30999999999999517</v>
      </c>
      <c r="Q340" s="6">
        <v>99.25373134328359</v>
      </c>
      <c r="R340" s="38"/>
    </row>
    <row r="341" spans="1:18" ht="14.25">
      <c r="A341" s="20" t="s">
        <v>26</v>
      </c>
      <c r="B341" s="40">
        <v>7.58</v>
      </c>
      <c r="C341" s="40">
        <v>2.84</v>
      </c>
      <c r="D341" s="40">
        <v>10.42</v>
      </c>
      <c r="E341" s="40">
        <v>0</v>
      </c>
      <c r="F341" s="40">
        <v>0</v>
      </c>
      <c r="G341" s="40">
        <v>0.26</v>
      </c>
      <c r="H341" s="40">
        <v>0.26</v>
      </c>
      <c r="I341" s="40">
        <v>0</v>
      </c>
      <c r="J341" s="40">
        <v>0</v>
      </c>
      <c r="K341" s="40">
        <v>0.26</v>
      </c>
      <c r="L341" s="40">
        <v>10.16</v>
      </c>
      <c r="M341" s="40">
        <v>5.47</v>
      </c>
      <c r="N341" s="40">
        <v>3.86</v>
      </c>
      <c r="O341" s="40">
        <v>9.33</v>
      </c>
      <c r="P341" s="40">
        <v>0.83</v>
      </c>
      <c r="Q341" s="6">
        <v>91.83070866141733</v>
      </c>
      <c r="R341" s="38"/>
    </row>
    <row r="342" spans="1:18" ht="14.25">
      <c r="A342" s="20" t="s">
        <v>27</v>
      </c>
      <c r="B342" s="40">
        <v>26.24</v>
      </c>
      <c r="C342" s="40">
        <v>33.56</v>
      </c>
      <c r="D342" s="40">
        <v>59.8</v>
      </c>
      <c r="E342" s="40">
        <v>0.16</v>
      </c>
      <c r="F342" s="40">
        <v>0.32</v>
      </c>
      <c r="G342" s="40">
        <v>0.08</v>
      </c>
      <c r="H342" s="40">
        <v>0.56</v>
      </c>
      <c r="I342" s="40">
        <v>0</v>
      </c>
      <c r="J342" s="40">
        <v>0</v>
      </c>
      <c r="K342" s="40">
        <v>0.56</v>
      </c>
      <c r="L342" s="40">
        <v>59.24</v>
      </c>
      <c r="M342" s="40">
        <v>25.9</v>
      </c>
      <c r="N342" s="40">
        <v>30.6</v>
      </c>
      <c r="O342" s="40">
        <v>56.5</v>
      </c>
      <c r="P342" s="40">
        <v>2.739999999999995</v>
      </c>
      <c r="Q342" s="6">
        <v>95.37474679270764</v>
      </c>
      <c r="R342" s="38"/>
    </row>
    <row r="343" spans="1:18" ht="14.25">
      <c r="A343" s="20" t="s">
        <v>28</v>
      </c>
      <c r="B343" s="40">
        <v>46</v>
      </c>
      <c r="C343" s="40">
        <v>24.14</v>
      </c>
      <c r="D343" s="40">
        <v>70.14</v>
      </c>
      <c r="E343" s="40">
        <v>0</v>
      </c>
      <c r="F343" s="40">
        <v>0.12</v>
      </c>
      <c r="G343" s="40">
        <v>2.02</v>
      </c>
      <c r="H343" s="40">
        <v>2.14</v>
      </c>
      <c r="I343" s="40">
        <v>0.24</v>
      </c>
      <c r="J343" s="40">
        <v>0</v>
      </c>
      <c r="K343" s="40">
        <v>2.38</v>
      </c>
      <c r="L343" s="40">
        <v>67.76</v>
      </c>
      <c r="M343" s="40">
        <v>38.87</v>
      </c>
      <c r="N343" s="40">
        <v>25.63</v>
      </c>
      <c r="O343" s="40">
        <v>64.5</v>
      </c>
      <c r="P343" s="40">
        <v>3.260000000000005</v>
      </c>
      <c r="Q343" s="6">
        <v>95.18890200708383</v>
      </c>
      <c r="R343" s="38"/>
    </row>
    <row r="344" spans="1:18" ht="14.25">
      <c r="A344" s="20" t="s">
        <v>29</v>
      </c>
      <c r="B344" s="40">
        <v>17.62</v>
      </c>
      <c r="C344" s="40">
        <v>3.18</v>
      </c>
      <c r="D344" s="40">
        <v>20.8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0.36</v>
      </c>
      <c r="K344" s="40">
        <v>0.36</v>
      </c>
      <c r="L344" s="40">
        <v>20.44</v>
      </c>
      <c r="M344" s="40">
        <v>9.18</v>
      </c>
      <c r="N344" s="40">
        <v>9.94</v>
      </c>
      <c r="O344" s="40">
        <v>19.12</v>
      </c>
      <c r="P344" s="40">
        <v>1.32</v>
      </c>
      <c r="Q344" s="6">
        <v>93.54207436399216</v>
      </c>
      <c r="R344" s="38"/>
    </row>
    <row r="345" spans="1:18" ht="14.25">
      <c r="A345" s="20" t="s">
        <v>30</v>
      </c>
      <c r="B345" s="40">
        <v>46.36</v>
      </c>
      <c r="C345" s="40">
        <v>6.09</v>
      </c>
      <c r="D345" s="40">
        <v>52.45</v>
      </c>
      <c r="E345" s="40">
        <v>0.72</v>
      </c>
      <c r="F345" s="40">
        <v>0.24</v>
      </c>
      <c r="G345" s="40">
        <v>3.31</v>
      </c>
      <c r="H345" s="40">
        <v>4.27</v>
      </c>
      <c r="I345" s="40">
        <v>0.01</v>
      </c>
      <c r="J345" s="40">
        <v>2.35</v>
      </c>
      <c r="K345" s="40">
        <v>6.63</v>
      </c>
      <c r="L345" s="40">
        <v>45.82</v>
      </c>
      <c r="M345" s="40">
        <v>33.07</v>
      </c>
      <c r="N345" s="40">
        <v>12.66</v>
      </c>
      <c r="O345" s="40">
        <v>45.73</v>
      </c>
      <c r="P345" s="40">
        <v>0.09000000000000341</v>
      </c>
      <c r="Q345" s="6">
        <v>99.8035792230467</v>
      </c>
      <c r="R345" s="38"/>
    </row>
    <row r="346" spans="1:18" ht="14.25">
      <c r="A346" s="20" t="s">
        <v>31</v>
      </c>
      <c r="B346" s="40">
        <v>21.723000000000003</v>
      </c>
      <c r="C346" s="40">
        <v>12.42</v>
      </c>
      <c r="D346" s="40">
        <v>34.143</v>
      </c>
      <c r="E346" s="40">
        <v>0</v>
      </c>
      <c r="F346" s="40">
        <v>0</v>
      </c>
      <c r="G346" s="40">
        <v>0.12</v>
      </c>
      <c r="H346" s="40">
        <v>0.12</v>
      </c>
      <c r="I346" s="40">
        <v>0</v>
      </c>
      <c r="J346" s="40">
        <v>0</v>
      </c>
      <c r="K346" s="40">
        <v>0.12</v>
      </c>
      <c r="L346" s="40">
        <v>34.023</v>
      </c>
      <c r="M346" s="40">
        <v>16.38</v>
      </c>
      <c r="N346" s="40">
        <v>16.24</v>
      </c>
      <c r="O346" s="40">
        <v>32.62</v>
      </c>
      <c r="P346" s="40">
        <v>1.4030000000000058</v>
      </c>
      <c r="Q346" s="6">
        <v>95.87631896070303</v>
      </c>
      <c r="R346" s="38"/>
    </row>
    <row r="347" spans="1:18" ht="14.25">
      <c r="A347" s="20" t="s">
        <v>32</v>
      </c>
      <c r="B347" s="40">
        <v>5.16</v>
      </c>
      <c r="C347" s="40">
        <v>1.48</v>
      </c>
      <c r="D347" s="40">
        <v>6.64</v>
      </c>
      <c r="E347" s="40">
        <v>0.02</v>
      </c>
      <c r="F347" s="40">
        <v>0.04</v>
      </c>
      <c r="G347" s="40">
        <v>0.34</v>
      </c>
      <c r="H347" s="40">
        <v>0.4</v>
      </c>
      <c r="I347" s="40">
        <v>0</v>
      </c>
      <c r="J347" s="40">
        <v>0</v>
      </c>
      <c r="K347" s="40">
        <v>0.4</v>
      </c>
      <c r="L347" s="40">
        <v>6.24</v>
      </c>
      <c r="M347" s="40">
        <v>3.9</v>
      </c>
      <c r="N347" s="40">
        <v>2.34</v>
      </c>
      <c r="O347" s="40">
        <v>6.24</v>
      </c>
      <c r="P347" s="40">
        <v>0</v>
      </c>
      <c r="Q347" s="6">
        <v>100</v>
      </c>
      <c r="R347" s="38"/>
    </row>
    <row r="348" spans="1:18" ht="14.25">
      <c r="A348" s="20" t="s">
        <v>33</v>
      </c>
      <c r="B348" s="40">
        <v>60.61</v>
      </c>
      <c r="C348" s="40">
        <v>9.86</v>
      </c>
      <c r="D348" s="40">
        <v>70.47</v>
      </c>
      <c r="E348" s="40">
        <v>0.08</v>
      </c>
      <c r="F348" s="40">
        <v>0</v>
      </c>
      <c r="G348" s="40">
        <v>0</v>
      </c>
      <c r="H348" s="40">
        <v>0.08</v>
      </c>
      <c r="I348" s="40">
        <v>0</v>
      </c>
      <c r="J348" s="40">
        <v>0</v>
      </c>
      <c r="K348" s="40">
        <v>0.08</v>
      </c>
      <c r="L348" s="40">
        <v>70.39</v>
      </c>
      <c r="M348" s="40">
        <v>54.81</v>
      </c>
      <c r="N348" s="40">
        <v>13.76</v>
      </c>
      <c r="O348" s="40">
        <v>68.57</v>
      </c>
      <c r="P348" s="40">
        <v>1.8199999999999932</v>
      </c>
      <c r="Q348" s="6">
        <v>97.41440545532036</v>
      </c>
      <c r="R348" s="38"/>
    </row>
    <row r="349" spans="1:18" ht="14.25">
      <c r="A349" s="20" t="s">
        <v>34</v>
      </c>
      <c r="B349" s="40">
        <v>37.15</v>
      </c>
      <c r="C349" s="40">
        <v>1.51</v>
      </c>
      <c r="D349" s="40">
        <v>38.66</v>
      </c>
      <c r="E349" s="40">
        <v>0.2</v>
      </c>
      <c r="F349" s="40">
        <v>0</v>
      </c>
      <c r="G349" s="40">
        <v>0.28</v>
      </c>
      <c r="H349" s="40">
        <v>0.48</v>
      </c>
      <c r="I349" s="40">
        <v>0.2</v>
      </c>
      <c r="J349" s="40">
        <v>2.38</v>
      </c>
      <c r="K349" s="40">
        <v>3.06</v>
      </c>
      <c r="L349" s="40">
        <v>35.6</v>
      </c>
      <c r="M349" s="40">
        <v>24.58</v>
      </c>
      <c r="N349" s="40">
        <v>10.83</v>
      </c>
      <c r="O349" s="40">
        <v>35.41</v>
      </c>
      <c r="P349" s="40">
        <v>0.18999999999999773</v>
      </c>
      <c r="Q349" s="6">
        <v>99.46629213483146</v>
      </c>
      <c r="R349" s="38"/>
    </row>
    <row r="350" spans="1:18" ht="15">
      <c r="A350" s="21" t="s">
        <v>35</v>
      </c>
      <c r="B350" s="22">
        <v>400.833</v>
      </c>
      <c r="C350" s="22">
        <v>120.99</v>
      </c>
      <c r="D350" s="22">
        <v>521.823</v>
      </c>
      <c r="E350" s="22">
        <v>1.5</v>
      </c>
      <c r="F350" s="22">
        <v>0.74</v>
      </c>
      <c r="G350" s="22">
        <v>9.02</v>
      </c>
      <c r="H350" s="22">
        <v>11.26</v>
      </c>
      <c r="I350" s="41">
        <v>0.45</v>
      </c>
      <c r="J350" s="41">
        <v>5.79</v>
      </c>
      <c r="K350" s="41">
        <v>17.5</v>
      </c>
      <c r="L350" s="41">
        <v>504.323</v>
      </c>
      <c r="M350" s="22">
        <v>300.23</v>
      </c>
      <c r="N350" s="22">
        <v>178.57</v>
      </c>
      <c r="O350" s="41">
        <v>478.8</v>
      </c>
      <c r="P350" s="41">
        <v>25.52299999999991</v>
      </c>
      <c r="Q350" s="22">
        <v>94.9391560567335</v>
      </c>
      <c r="R350" s="38"/>
    </row>
    <row r="351" spans="1:18" ht="15">
      <c r="A351" s="44"/>
      <c r="B351" s="46"/>
      <c r="C351" s="46"/>
      <c r="D351" s="46"/>
      <c r="E351" s="46"/>
      <c r="F351" s="46"/>
      <c r="G351" s="46"/>
      <c r="H351" s="46"/>
      <c r="I351" s="47"/>
      <c r="J351" s="47"/>
      <c r="K351" s="46"/>
      <c r="L351" s="47"/>
      <c r="M351" s="13"/>
      <c r="N351" s="46"/>
      <c r="O351" s="48"/>
      <c r="P351" s="13"/>
      <c r="Q351" s="46"/>
      <c r="R351" s="26"/>
    </row>
    <row r="352" spans="1:18" ht="18">
      <c r="A352" s="157" t="s">
        <v>84</v>
      </c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26"/>
    </row>
    <row r="353" spans="1:18" ht="18">
      <c r="A353" s="157" t="s">
        <v>100</v>
      </c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26"/>
    </row>
    <row r="354" spans="1:18" ht="15.75">
      <c r="A354" s="158" t="s">
        <v>2</v>
      </c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26"/>
    </row>
    <row r="355" spans="1:18" ht="12.75">
      <c r="A355" s="147" t="s">
        <v>3</v>
      </c>
      <c r="B355" s="153" t="s">
        <v>4</v>
      </c>
      <c r="C355" s="153" t="s">
        <v>5</v>
      </c>
      <c r="D355" s="153" t="s">
        <v>6</v>
      </c>
      <c r="E355" s="152" t="s">
        <v>7</v>
      </c>
      <c r="F355" s="152"/>
      <c r="G355" s="152"/>
      <c r="H355" s="153" t="s">
        <v>8</v>
      </c>
      <c r="I355" s="146" t="s">
        <v>9</v>
      </c>
      <c r="J355" s="160" t="s">
        <v>38</v>
      </c>
      <c r="K355" s="150" t="s">
        <v>11</v>
      </c>
      <c r="L355" s="146" t="s">
        <v>39</v>
      </c>
      <c r="M355" s="147" t="s">
        <v>13</v>
      </c>
      <c r="N355" s="147" t="s">
        <v>14</v>
      </c>
      <c r="O355" s="146" t="s">
        <v>15</v>
      </c>
      <c r="P355" s="147" t="s">
        <v>16</v>
      </c>
      <c r="Q355" s="147" t="s">
        <v>17</v>
      </c>
      <c r="R355" s="148" t="s">
        <v>82</v>
      </c>
    </row>
    <row r="356" spans="1:18" ht="67.5" customHeight="1">
      <c r="A356" s="147"/>
      <c r="B356" s="155"/>
      <c r="C356" s="156"/>
      <c r="D356" s="154"/>
      <c r="E356" s="19" t="s">
        <v>18</v>
      </c>
      <c r="F356" s="19" t="s">
        <v>19</v>
      </c>
      <c r="G356" s="19" t="s">
        <v>20</v>
      </c>
      <c r="H356" s="154"/>
      <c r="I356" s="146"/>
      <c r="J356" s="145"/>
      <c r="K356" s="151"/>
      <c r="L356" s="146"/>
      <c r="M356" s="147"/>
      <c r="N356" s="147"/>
      <c r="O356" s="146"/>
      <c r="P356" s="147"/>
      <c r="Q356" s="147"/>
      <c r="R356" s="149"/>
    </row>
    <row r="357" spans="1:18" ht="14.25">
      <c r="A357" s="20" t="s">
        <v>21</v>
      </c>
      <c r="B357" s="6">
        <v>111.36</v>
      </c>
      <c r="C357" s="6">
        <v>0.36</v>
      </c>
      <c r="D357" s="6">
        <v>111.72</v>
      </c>
      <c r="E357" s="6">
        <v>0</v>
      </c>
      <c r="F357" s="6">
        <v>0</v>
      </c>
      <c r="G357" s="6">
        <v>0</v>
      </c>
      <c r="H357" s="6">
        <v>0</v>
      </c>
      <c r="I357" s="40">
        <v>0</v>
      </c>
      <c r="J357" s="40">
        <v>0</v>
      </c>
      <c r="K357" s="6">
        <v>0</v>
      </c>
      <c r="L357" s="40">
        <v>111.72</v>
      </c>
      <c r="M357" s="4">
        <v>4.75</v>
      </c>
      <c r="N357" s="6">
        <v>0.42</v>
      </c>
      <c r="O357" s="5">
        <v>5.17</v>
      </c>
      <c r="P357" s="4">
        <v>106.55</v>
      </c>
      <c r="Q357" s="6">
        <v>4.627640529896169</v>
      </c>
      <c r="R357" s="49"/>
    </row>
    <row r="358" spans="1:18" ht="14.25">
      <c r="A358" s="20" t="s">
        <v>22</v>
      </c>
      <c r="B358" s="6">
        <v>9.04</v>
      </c>
      <c r="C358" s="6">
        <v>0.58</v>
      </c>
      <c r="D358" s="6">
        <v>9.62</v>
      </c>
      <c r="E358" s="6">
        <v>0</v>
      </c>
      <c r="F358" s="6">
        <v>0</v>
      </c>
      <c r="G358" s="6">
        <v>0</v>
      </c>
      <c r="H358" s="6">
        <v>0</v>
      </c>
      <c r="I358" s="40">
        <v>0</v>
      </c>
      <c r="J358" s="40">
        <v>4.26</v>
      </c>
      <c r="K358" s="6">
        <v>4.26</v>
      </c>
      <c r="L358" s="40">
        <v>5.36</v>
      </c>
      <c r="M358" s="4">
        <v>2.27</v>
      </c>
      <c r="N358" s="6">
        <v>0.59</v>
      </c>
      <c r="O358" s="5">
        <v>2.86</v>
      </c>
      <c r="P358" s="4">
        <v>2.5</v>
      </c>
      <c r="Q358" s="6">
        <v>53.35820895522389</v>
      </c>
      <c r="R358" s="49"/>
    </row>
    <row r="359" spans="1:18" ht="14.25">
      <c r="A359" s="20" t="s">
        <v>23</v>
      </c>
      <c r="B359" s="6">
        <v>66.86</v>
      </c>
      <c r="C359" s="6">
        <v>0.21</v>
      </c>
      <c r="D359" s="6">
        <v>67.07</v>
      </c>
      <c r="E359" s="6">
        <v>0</v>
      </c>
      <c r="F359" s="6">
        <v>0</v>
      </c>
      <c r="G359" s="6">
        <v>0</v>
      </c>
      <c r="H359" s="6">
        <v>0</v>
      </c>
      <c r="I359" s="40">
        <v>0</v>
      </c>
      <c r="J359" s="40">
        <v>38.21</v>
      </c>
      <c r="K359" s="6">
        <v>38.21</v>
      </c>
      <c r="L359" s="40">
        <v>28.86</v>
      </c>
      <c r="M359" s="4">
        <v>4.18</v>
      </c>
      <c r="N359" s="6">
        <v>0.24</v>
      </c>
      <c r="O359" s="5">
        <v>4.42</v>
      </c>
      <c r="P359" s="4">
        <v>24.44</v>
      </c>
      <c r="Q359" s="6">
        <v>15.31531531531532</v>
      </c>
      <c r="R359" s="49"/>
    </row>
    <row r="360" spans="1:18" ht="14.25">
      <c r="A360" s="20" t="s">
        <v>24</v>
      </c>
      <c r="B360" s="6">
        <v>129.75</v>
      </c>
      <c r="C360" s="6">
        <v>0.21</v>
      </c>
      <c r="D360" s="6">
        <v>129.96</v>
      </c>
      <c r="E360" s="6">
        <v>0</v>
      </c>
      <c r="F360" s="6">
        <v>0</v>
      </c>
      <c r="G360" s="6">
        <v>0</v>
      </c>
      <c r="H360" s="6">
        <v>0</v>
      </c>
      <c r="I360" s="40">
        <v>0</v>
      </c>
      <c r="J360" s="40">
        <v>34.57</v>
      </c>
      <c r="K360" s="6">
        <v>34.57</v>
      </c>
      <c r="L360" s="40">
        <v>95.39</v>
      </c>
      <c r="M360" s="4">
        <v>5.75</v>
      </c>
      <c r="N360" s="6">
        <v>0.25</v>
      </c>
      <c r="O360" s="5">
        <v>6</v>
      </c>
      <c r="P360" s="4">
        <v>89.39</v>
      </c>
      <c r="Q360" s="6">
        <v>6.289967501834573</v>
      </c>
      <c r="R360" s="49"/>
    </row>
    <row r="361" spans="1:18" ht="14.25">
      <c r="A361" s="20" t="s">
        <v>25</v>
      </c>
      <c r="B361" s="6">
        <v>76.17</v>
      </c>
      <c r="C361" s="6">
        <v>1.25</v>
      </c>
      <c r="D361" s="6">
        <v>77.42</v>
      </c>
      <c r="E361" s="6">
        <v>0</v>
      </c>
      <c r="F361" s="6">
        <v>0</v>
      </c>
      <c r="G361" s="6">
        <v>0</v>
      </c>
      <c r="H361" s="6">
        <v>0</v>
      </c>
      <c r="I361" s="40">
        <v>0</v>
      </c>
      <c r="J361" s="40">
        <v>35</v>
      </c>
      <c r="K361" s="6">
        <v>35</v>
      </c>
      <c r="L361" s="40">
        <v>42.42</v>
      </c>
      <c r="M361" s="4">
        <v>20.84</v>
      </c>
      <c r="N361" s="6">
        <v>1.91</v>
      </c>
      <c r="O361" s="5">
        <v>22.75</v>
      </c>
      <c r="P361" s="4">
        <v>19.67</v>
      </c>
      <c r="Q361" s="6">
        <v>53.63036303630363</v>
      </c>
      <c r="R361" s="49"/>
    </row>
    <row r="362" spans="1:18" ht="14.25">
      <c r="A362" s="20" t="s">
        <v>26</v>
      </c>
      <c r="B362" s="6">
        <v>42.74</v>
      </c>
      <c r="C362" s="6">
        <v>1.62</v>
      </c>
      <c r="D362" s="6">
        <v>44.36</v>
      </c>
      <c r="E362" s="6">
        <v>0</v>
      </c>
      <c r="F362" s="6">
        <v>0</v>
      </c>
      <c r="G362" s="6">
        <v>0</v>
      </c>
      <c r="H362" s="6">
        <v>0</v>
      </c>
      <c r="I362" s="40">
        <v>0</v>
      </c>
      <c r="J362" s="40">
        <v>12.89</v>
      </c>
      <c r="K362" s="6">
        <v>12.89</v>
      </c>
      <c r="L362" s="40">
        <v>31.47</v>
      </c>
      <c r="M362" s="4">
        <v>15.19</v>
      </c>
      <c r="N362" s="6">
        <v>1.66</v>
      </c>
      <c r="O362" s="5">
        <v>16.85</v>
      </c>
      <c r="P362" s="4">
        <v>14.62</v>
      </c>
      <c r="Q362" s="6">
        <v>53.54305687956784</v>
      </c>
      <c r="R362" s="49"/>
    </row>
    <row r="363" spans="1:18" ht="14.25">
      <c r="A363" s="20" t="s">
        <v>27</v>
      </c>
      <c r="B363" s="6">
        <v>42.68</v>
      </c>
      <c r="C363" s="6">
        <v>0.98</v>
      </c>
      <c r="D363" s="6">
        <v>43.66</v>
      </c>
      <c r="E363" s="6">
        <v>0</v>
      </c>
      <c r="F363" s="6">
        <v>0</v>
      </c>
      <c r="G363" s="6">
        <v>0</v>
      </c>
      <c r="H363" s="6">
        <v>0</v>
      </c>
      <c r="I363" s="40">
        <v>0</v>
      </c>
      <c r="J363" s="40">
        <v>24.16</v>
      </c>
      <c r="K363" s="6">
        <v>24.16</v>
      </c>
      <c r="L363" s="40">
        <v>19.5</v>
      </c>
      <c r="M363" s="4">
        <v>9.9</v>
      </c>
      <c r="N363" s="6">
        <v>1.01</v>
      </c>
      <c r="O363" s="5">
        <v>10.91</v>
      </c>
      <c r="P363" s="4">
        <v>8.59</v>
      </c>
      <c r="Q363" s="6">
        <v>55.94871794871796</v>
      </c>
      <c r="R363" s="49"/>
    </row>
    <row r="364" spans="1:18" ht="14.25">
      <c r="A364" s="20" t="s">
        <v>28</v>
      </c>
      <c r="B364" s="6">
        <v>27.47</v>
      </c>
      <c r="C364" s="6">
        <v>0.43</v>
      </c>
      <c r="D364" s="6">
        <v>27.9</v>
      </c>
      <c r="E364" s="6">
        <v>0</v>
      </c>
      <c r="F364" s="6">
        <v>0</v>
      </c>
      <c r="G364" s="6">
        <v>0</v>
      </c>
      <c r="H364" s="6">
        <v>0</v>
      </c>
      <c r="I364" s="40">
        <v>0</v>
      </c>
      <c r="J364" s="40">
        <v>11.83</v>
      </c>
      <c r="K364" s="6">
        <v>11.83</v>
      </c>
      <c r="L364" s="40">
        <v>16.07</v>
      </c>
      <c r="M364" s="4">
        <v>10.98</v>
      </c>
      <c r="N364" s="6">
        <v>0.68</v>
      </c>
      <c r="O364" s="5">
        <v>11.66</v>
      </c>
      <c r="P364" s="4">
        <v>4.41</v>
      </c>
      <c r="Q364" s="6">
        <v>72.55756067205974</v>
      </c>
      <c r="R364" s="49"/>
    </row>
    <row r="365" spans="1:18" ht="14.25">
      <c r="A365" s="20" t="s">
        <v>29</v>
      </c>
      <c r="B365" s="6">
        <v>50.68</v>
      </c>
      <c r="C365" s="6">
        <v>1.07</v>
      </c>
      <c r="D365" s="6">
        <v>51.75</v>
      </c>
      <c r="E365" s="6">
        <v>0</v>
      </c>
      <c r="F365" s="6">
        <v>0</v>
      </c>
      <c r="G365" s="6">
        <v>0</v>
      </c>
      <c r="H365" s="6">
        <v>0</v>
      </c>
      <c r="I365" s="40">
        <v>3.81</v>
      </c>
      <c r="J365" s="40">
        <v>20.27</v>
      </c>
      <c r="K365" s="6">
        <v>24.08</v>
      </c>
      <c r="L365" s="40">
        <v>27.67</v>
      </c>
      <c r="M365" s="4">
        <v>18.28</v>
      </c>
      <c r="N365" s="6">
        <v>1.18</v>
      </c>
      <c r="O365" s="5">
        <v>19.46</v>
      </c>
      <c r="P365" s="4">
        <v>8.21</v>
      </c>
      <c r="Q365" s="6">
        <v>70.32887603903144</v>
      </c>
      <c r="R365" s="49"/>
    </row>
    <row r="366" spans="1:18" ht="14.25">
      <c r="A366" s="20" t="s">
        <v>30</v>
      </c>
      <c r="B366" s="6">
        <v>28.9</v>
      </c>
      <c r="C366" s="6">
        <v>0.31</v>
      </c>
      <c r="D366" s="6">
        <v>29.21</v>
      </c>
      <c r="E366" s="6">
        <v>0</v>
      </c>
      <c r="F366" s="6">
        <v>0</v>
      </c>
      <c r="G366" s="6">
        <v>0</v>
      </c>
      <c r="H366" s="6">
        <v>0</v>
      </c>
      <c r="I366" s="40">
        <v>0</v>
      </c>
      <c r="J366" s="40">
        <v>19.68</v>
      </c>
      <c r="K366" s="6">
        <v>19.68</v>
      </c>
      <c r="L366" s="40">
        <v>9.53</v>
      </c>
      <c r="M366" s="4">
        <v>9.22</v>
      </c>
      <c r="N366" s="6">
        <v>0.31</v>
      </c>
      <c r="O366" s="5">
        <v>9.53</v>
      </c>
      <c r="P366" s="6">
        <v>0</v>
      </c>
      <c r="Q366" s="6">
        <v>100</v>
      </c>
      <c r="R366" s="39"/>
    </row>
    <row r="367" spans="1:18" ht="14.25">
      <c r="A367" s="20" t="s">
        <v>31</v>
      </c>
      <c r="B367" s="6">
        <v>50.82</v>
      </c>
      <c r="C367" s="6">
        <v>0.44</v>
      </c>
      <c r="D367" s="6">
        <v>51.26</v>
      </c>
      <c r="E367" s="6">
        <v>0</v>
      </c>
      <c r="F367" s="6">
        <v>0</v>
      </c>
      <c r="G367" s="6">
        <v>0</v>
      </c>
      <c r="H367" s="6">
        <v>0</v>
      </c>
      <c r="I367" s="40">
        <v>0</v>
      </c>
      <c r="J367" s="40">
        <v>34.1</v>
      </c>
      <c r="K367" s="6">
        <v>34.1</v>
      </c>
      <c r="L367" s="40">
        <v>17.16</v>
      </c>
      <c r="M367" s="4">
        <v>6.93</v>
      </c>
      <c r="N367" s="6">
        <v>0.72</v>
      </c>
      <c r="O367" s="5">
        <v>7.65</v>
      </c>
      <c r="P367" s="4">
        <v>9.51</v>
      </c>
      <c r="Q367" s="6">
        <v>44.58041958041959</v>
      </c>
      <c r="R367" s="49"/>
    </row>
    <row r="368" spans="1:18" ht="14.25">
      <c r="A368" s="20" t="s">
        <v>32</v>
      </c>
      <c r="B368" s="6">
        <v>96.92</v>
      </c>
      <c r="C368" s="6">
        <v>1.01</v>
      </c>
      <c r="D368" s="6">
        <v>97.93</v>
      </c>
      <c r="E368" s="6">
        <v>0</v>
      </c>
      <c r="F368" s="6">
        <v>0</v>
      </c>
      <c r="G368" s="6">
        <v>0</v>
      </c>
      <c r="H368" s="6">
        <v>0</v>
      </c>
      <c r="I368" s="40">
        <v>0</v>
      </c>
      <c r="J368" s="40">
        <v>84.34</v>
      </c>
      <c r="K368" s="6">
        <v>84.34</v>
      </c>
      <c r="L368" s="40">
        <v>13.59</v>
      </c>
      <c r="M368" s="4">
        <v>11.75</v>
      </c>
      <c r="N368" s="6">
        <v>1.33</v>
      </c>
      <c r="O368" s="5">
        <v>13.08</v>
      </c>
      <c r="P368" s="4">
        <v>0.5100000000000033</v>
      </c>
      <c r="Q368" s="6">
        <v>96.24724061810153</v>
      </c>
      <c r="R368" s="49"/>
    </row>
    <row r="369" spans="1:18" ht="14.25">
      <c r="A369" s="20" t="s">
        <v>33</v>
      </c>
      <c r="B369" s="6">
        <v>56.43</v>
      </c>
      <c r="C369" s="6">
        <v>1.52</v>
      </c>
      <c r="D369" s="6">
        <v>57.95</v>
      </c>
      <c r="E369" s="6">
        <v>0</v>
      </c>
      <c r="F369" s="6">
        <v>0</v>
      </c>
      <c r="G369" s="6">
        <v>0</v>
      </c>
      <c r="H369" s="6">
        <v>0</v>
      </c>
      <c r="I369" s="40">
        <v>9.66</v>
      </c>
      <c r="J369" s="40">
        <v>23.92</v>
      </c>
      <c r="K369" s="6">
        <v>33.58</v>
      </c>
      <c r="L369" s="40">
        <v>24.37</v>
      </c>
      <c r="M369" s="4">
        <v>22.53</v>
      </c>
      <c r="N369" s="6">
        <v>1.57</v>
      </c>
      <c r="O369" s="5">
        <v>24.1</v>
      </c>
      <c r="P369" s="4">
        <v>0.2700000000000031</v>
      </c>
      <c r="Q369" s="6">
        <v>98.89208042675419</v>
      </c>
      <c r="R369" s="38"/>
    </row>
    <row r="370" spans="1:18" ht="14.25">
      <c r="A370" s="20" t="s">
        <v>34</v>
      </c>
      <c r="B370" s="6">
        <v>38.95</v>
      </c>
      <c r="C370" s="6">
        <v>0.56</v>
      </c>
      <c r="D370" s="6">
        <v>39.51</v>
      </c>
      <c r="E370" s="6">
        <v>0</v>
      </c>
      <c r="F370" s="6">
        <v>0</v>
      </c>
      <c r="G370" s="6">
        <v>0</v>
      </c>
      <c r="H370" s="6">
        <v>0</v>
      </c>
      <c r="I370" s="40">
        <v>0</v>
      </c>
      <c r="J370" s="40">
        <v>2.67</v>
      </c>
      <c r="K370" s="6">
        <v>2.67</v>
      </c>
      <c r="L370" s="40">
        <v>36.84</v>
      </c>
      <c r="M370" s="4">
        <v>8.4</v>
      </c>
      <c r="N370" s="6">
        <v>0.56</v>
      </c>
      <c r="O370" s="5">
        <v>8.96</v>
      </c>
      <c r="P370" s="4">
        <v>27.88</v>
      </c>
      <c r="Q370" s="6">
        <v>24.321389793702497</v>
      </c>
      <c r="R370" s="49"/>
    </row>
    <row r="371" spans="1:18" ht="15">
      <c r="A371" s="21" t="s">
        <v>35</v>
      </c>
      <c r="B371" s="22">
        <v>828.77</v>
      </c>
      <c r="C371" s="22">
        <v>10.55</v>
      </c>
      <c r="D371" s="22">
        <v>839.32</v>
      </c>
      <c r="E371" s="22">
        <v>0</v>
      </c>
      <c r="F371" s="22">
        <v>0</v>
      </c>
      <c r="G371" s="22">
        <v>0</v>
      </c>
      <c r="H371" s="22">
        <v>0</v>
      </c>
      <c r="I371" s="41">
        <v>13.47</v>
      </c>
      <c r="J371" s="41">
        <v>345.9</v>
      </c>
      <c r="K371" s="22">
        <v>359.37</v>
      </c>
      <c r="L371" s="41">
        <v>479.95</v>
      </c>
      <c r="M371" s="22">
        <v>150.97</v>
      </c>
      <c r="N371" s="22">
        <v>12.43</v>
      </c>
      <c r="O371" s="41">
        <v>163.4</v>
      </c>
      <c r="P371" s="8">
        <v>316.55</v>
      </c>
      <c r="Q371" s="22">
        <v>34.04521304302531</v>
      </c>
      <c r="R371" s="38"/>
    </row>
    <row r="372" spans="1:18" ht="15">
      <c r="A372" s="50" t="s">
        <v>101</v>
      </c>
      <c r="B372" s="46"/>
      <c r="C372" s="46"/>
      <c r="D372" s="46"/>
      <c r="E372" s="46"/>
      <c r="F372" s="46"/>
      <c r="G372" s="46"/>
      <c r="H372" s="46"/>
      <c r="I372" s="47"/>
      <c r="J372" s="47"/>
      <c r="K372" s="46"/>
      <c r="L372" s="47"/>
      <c r="M372" s="13"/>
      <c r="N372" s="46"/>
      <c r="O372" s="48"/>
      <c r="P372" s="13"/>
      <c r="Q372" s="46"/>
      <c r="R372" s="26"/>
    </row>
    <row r="373" spans="1:18" ht="18">
      <c r="A373" s="157" t="s">
        <v>84</v>
      </c>
      <c r="B373" s="157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26"/>
    </row>
    <row r="374" spans="1:18" ht="18">
      <c r="A374" s="157" t="s">
        <v>102</v>
      </c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26"/>
    </row>
    <row r="375" spans="1:18" ht="15.75">
      <c r="A375" s="158" t="s">
        <v>2</v>
      </c>
      <c r="B375" s="158"/>
      <c r="C375" s="158"/>
      <c r="D375" s="158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26"/>
    </row>
    <row r="376" spans="1:18" ht="12.75">
      <c r="A376" s="147" t="s">
        <v>3</v>
      </c>
      <c r="B376" s="153" t="s">
        <v>4</v>
      </c>
      <c r="C376" s="153" t="s">
        <v>5</v>
      </c>
      <c r="D376" s="153" t="s">
        <v>6</v>
      </c>
      <c r="E376" s="152" t="s">
        <v>7</v>
      </c>
      <c r="F376" s="152"/>
      <c r="G376" s="152"/>
      <c r="H376" s="153" t="s">
        <v>8</v>
      </c>
      <c r="I376" s="146" t="s">
        <v>9</v>
      </c>
      <c r="J376" s="146" t="s">
        <v>38</v>
      </c>
      <c r="K376" s="150" t="s">
        <v>11</v>
      </c>
      <c r="L376" s="146" t="s">
        <v>39</v>
      </c>
      <c r="M376" s="147" t="s">
        <v>13</v>
      </c>
      <c r="N376" s="147" t="s">
        <v>14</v>
      </c>
      <c r="O376" s="146" t="s">
        <v>15</v>
      </c>
      <c r="P376" s="147" t="s">
        <v>16</v>
      </c>
      <c r="Q376" s="147" t="s">
        <v>17</v>
      </c>
      <c r="R376" s="148" t="s">
        <v>82</v>
      </c>
    </row>
    <row r="377" spans="1:18" ht="67.5" customHeight="1">
      <c r="A377" s="147"/>
      <c r="B377" s="155"/>
      <c r="C377" s="156"/>
      <c r="D377" s="154"/>
      <c r="E377" s="19" t="s">
        <v>18</v>
      </c>
      <c r="F377" s="19" t="s">
        <v>19</v>
      </c>
      <c r="G377" s="19" t="s">
        <v>20</v>
      </c>
      <c r="H377" s="154"/>
      <c r="I377" s="146"/>
      <c r="J377" s="146"/>
      <c r="K377" s="151"/>
      <c r="L377" s="146"/>
      <c r="M377" s="147"/>
      <c r="N377" s="147"/>
      <c r="O377" s="146"/>
      <c r="P377" s="147"/>
      <c r="Q377" s="147"/>
      <c r="R377" s="149"/>
    </row>
    <row r="378" spans="1:18" ht="14.25">
      <c r="A378" s="20" t="s">
        <v>21</v>
      </c>
      <c r="B378" s="40">
        <v>12662.16</v>
      </c>
      <c r="C378" s="40">
        <v>96.44</v>
      </c>
      <c r="D378" s="40">
        <v>12758.6</v>
      </c>
      <c r="E378" s="40">
        <v>4566.62</v>
      </c>
      <c r="F378" s="40">
        <v>4731.25</v>
      </c>
      <c r="G378" s="40">
        <v>327.17</v>
      </c>
      <c r="H378" s="40">
        <v>9625.04</v>
      </c>
      <c r="I378" s="40">
        <v>593.84</v>
      </c>
      <c r="J378" s="40">
        <v>2043.63</v>
      </c>
      <c r="K378" s="40">
        <v>12262.51</v>
      </c>
      <c r="L378" s="40">
        <v>496.0899999999983</v>
      </c>
      <c r="M378" s="40">
        <v>388.87</v>
      </c>
      <c r="N378" s="40">
        <v>75.92</v>
      </c>
      <c r="O378" s="40">
        <v>464.79</v>
      </c>
      <c r="P378" s="40">
        <v>31.299999999998306</v>
      </c>
      <c r="Q378" s="6">
        <v>93.69066096877616</v>
      </c>
      <c r="R378" s="38"/>
    </row>
    <row r="379" spans="1:18" ht="14.25">
      <c r="A379" s="20" t="s">
        <v>22</v>
      </c>
      <c r="B379" s="40">
        <v>32468.58</v>
      </c>
      <c r="C379" s="40">
        <v>4041.99</v>
      </c>
      <c r="D379" s="40">
        <v>36510.57</v>
      </c>
      <c r="E379" s="40">
        <v>7101.62</v>
      </c>
      <c r="F379" s="40">
        <v>16822.05</v>
      </c>
      <c r="G379" s="40">
        <v>4889.92</v>
      </c>
      <c r="H379" s="40">
        <v>28813.59</v>
      </c>
      <c r="I379" s="40">
        <v>5058.34</v>
      </c>
      <c r="J379" s="40">
        <v>1999.58</v>
      </c>
      <c r="K379" s="40">
        <v>35871.51</v>
      </c>
      <c r="L379" s="40">
        <v>639.0599999999977</v>
      </c>
      <c r="M379" s="40">
        <v>504.52</v>
      </c>
      <c r="N379" s="40">
        <v>77.62</v>
      </c>
      <c r="O379" s="40">
        <v>582.14</v>
      </c>
      <c r="P379" s="40">
        <v>56.919999999997685</v>
      </c>
      <c r="Q379" s="6">
        <v>91.09316809063344</v>
      </c>
      <c r="R379" s="38"/>
    </row>
    <row r="380" spans="1:18" ht="14.25">
      <c r="A380" s="20" t="s">
        <v>23</v>
      </c>
      <c r="B380" s="40">
        <v>4888.64</v>
      </c>
      <c r="C380" s="40">
        <v>57.2</v>
      </c>
      <c r="D380" s="40">
        <v>4945.84</v>
      </c>
      <c r="E380" s="40">
        <v>417.95</v>
      </c>
      <c r="F380" s="40">
        <v>2899.79</v>
      </c>
      <c r="G380" s="40">
        <v>201</v>
      </c>
      <c r="H380" s="40">
        <v>3518.74</v>
      </c>
      <c r="I380" s="40">
        <v>1037.5</v>
      </c>
      <c r="J380" s="40">
        <v>176.74</v>
      </c>
      <c r="K380" s="40">
        <v>4732.98</v>
      </c>
      <c r="L380" s="40">
        <v>212.86000000000058</v>
      </c>
      <c r="M380" s="40">
        <v>137.5</v>
      </c>
      <c r="N380" s="40">
        <v>67.86</v>
      </c>
      <c r="O380" s="40">
        <v>205.36</v>
      </c>
      <c r="P380" s="40">
        <v>7.500000000000568</v>
      </c>
      <c r="Q380" s="6">
        <v>96.4765573616459</v>
      </c>
      <c r="R380" s="38"/>
    </row>
    <row r="381" spans="1:18" ht="14.25">
      <c r="A381" s="20" t="s">
        <v>24</v>
      </c>
      <c r="B381" s="40">
        <v>3137.79</v>
      </c>
      <c r="C381" s="40">
        <v>198.85</v>
      </c>
      <c r="D381" s="40">
        <v>3336.64</v>
      </c>
      <c r="E381" s="40">
        <v>912.92</v>
      </c>
      <c r="F381" s="40">
        <v>1643.68</v>
      </c>
      <c r="G381" s="40">
        <v>158.78</v>
      </c>
      <c r="H381" s="40">
        <v>2715.38</v>
      </c>
      <c r="I381" s="40">
        <v>64.13</v>
      </c>
      <c r="J381" s="40">
        <v>332.53</v>
      </c>
      <c r="K381" s="40">
        <v>3112.04</v>
      </c>
      <c r="L381" s="40">
        <v>224.6</v>
      </c>
      <c r="M381" s="40">
        <v>173.91</v>
      </c>
      <c r="N381" s="40">
        <v>18.4</v>
      </c>
      <c r="O381" s="40">
        <v>192.31</v>
      </c>
      <c r="P381" s="40">
        <v>32.28999999999991</v>
      </c>
      <c r="Q381" s="6">
        <v>85.62333036509354</v>
      </c>
      <c r="R381" s="38"/>
    </row>
    <row r="382" spans="1:18" ht="14.25">
      <c r="A382" s="20" t="s">
        <v>25</v>
      </c>
      <c r="B382" s="40">
        <v>3247.96</v>
      </c>
      <c r="C382" s="40">
        <v>206.8</v>
      </c>
      <c r="D382" s="40">
        <v>3454.76</v>
      </c>
      <c r="E382" s="40">
        <v>204.95</v>
      </c>
      <c r="F382" s="40">
        <v>68.71</v>
      </c>
      <c r="G382" s="40">
        <v>2064.92</v>
      </c>
      <c r="H382" s="40">
        <v>2338.58</v>
      </c>
      <c r="I382" s="40">
        <v>5.14</v>
      </c>
      <c r="J382" s="40">
        <v>666.68</v>
      </c>
      <c r="K382" s="40">
        <v>3010.4</v>
      </c>
      <c r="L382" s="40">
        <v>444.3600000000006</v>
      </c>
      <c r="M382" s="40">
        <v>201.61</v>
      </c>
      <c r="N382" s="40">
        <v>206.34</v>
      </c>
      <c r="O382" s="40">
        <v>407.95</v>
      </c>
      <c r="P382" s="40">
        <v>36.41000000000054</v>
      </c>
      <c r="Q382" s="6">
        <v>91.80619317670346</v>
      </c>
      <c r="R382" s="38"/>
    </row>
    <row r="383" spans="1:18" ht="14.25">
      <c r="A383" s="20" t="s">
        <v>26</v>
      </c>
      <c r="B383" s="40">
        <v>1725.07</v>
      </c>
      <c r="C383" s="40">
        <v>0.04</v>
      </c>
      <c r="D383" s="40">
        <v>1725.11</v>
      </c>
      <c r="E383" s="40">
        <v>389.67</v>
      </c>
      <c r="F383" s="40">
        <v>73.94</v>
      </c>
      <c r="G383" s="40">
        <v>55.35</v>
      </c>
      <c r="H383" s="40">
        <v>518.96</v>
      </c>
      <c r="I383" s="40">
        <v>821.77</v>
      </c>
      <c r="J383" s="40">
        <v>322.42</v>
      </c>
      <c r="K383" s="40">
        <v>1663.15</v>
      </c>
      <c r="L383" s="40">
        <v>61.95999999999981</v>
      </c>
      <c r="M383" s="40">
        <v>30.76</v>
      </c>
      <c r="N383" s="40">
        <v>3.89</v>
      </c>
      <c r="O383" s="40">
        <v>34.65</v>
      </c>
      <c r="P383" s="40">
        <v>27.30999999999981</v>
      </c>
      <c r="Q383" s="6">
        <v>55.92317624273741</v>
      </c>
      <c r="R383" s="38"/>
    </row>
    <row r="384" spans="1:18" ht="14.25">
      <c r="A384" s="20" t="s">
        <v>27</v>
      </c>
      <c r="B384" s="40">
        <v>33171.73</v>
      </c>
      <c r="C384" s="40">
        <v>331.58</v>
      </c>
      <c r="D384" s="40">
        <v>33503.31</v>
      </c>
      <c r="E384" s="40">
        <v>14008.41</v>
      </c>
      <c r="F384" s="40">
        <v>2522.61</v>
      </c>
      <c r="G384" s="40">
        <v>8059.8</v>
      </c>
      <c r="H384" s="40">
        <v>24590.82</v>
      </c>
      <c r="I384" s="40">
        <v>23.08</v>
      </c>
      <c r="J384" s="40">
        <v>6053.72</v>
      </c>
      <c r="K384" s="40">
        <v>30667.62</v>
      </c>
      <c r="L384" s="40">
        <v>2835.69</v>
      </c>
      <c r="M384" s="40">
        <v>1604.95</v>
      </c>
      <c r="N384" s="40">
        <v>341.07</v>
      </c>
      <c r="O384" s="40">
        <v>1946.02</v>
      </c>
      <c r="P384" s="40">
        <v>889.6700000000023</v>
      </c>
      <c r="Q384" s="6">
        <v>68.62597815699172</v>
      </c>
      <c r="R384" s="38"/>
    </row>
    <row r="385" spans="1:18" ht="14.25">
      <c r="A385" s="20" t="s">
        <v>28</v>
      </c>
      <c r="B385" s="40">
        <v>5996.37</v>
      </c>
      <c r="C385" s="40">
        <v>91.26</v>
      </c>
      <c r="D385" s="40">
        <v>6087.63</v>
      </c>
      <c r="E385" s="40">
        <v>833.53</v>
      </c>
      <c r="F385" s="40">
        <v>320.55</v>
      </c>
      <c r="G385" s="40">
        <v>1731.25</v>
      </c>
      <c r="H385" s="40">
        <v>2885.33</v>
      </c>
      <c r="I385" s="40">
        <v>39.27</v>
      </c>
      <c r="J385" s="40">
        <v>2410.4</v>
      </c>
      <c r="K385" s="40">
        <v>5335</v>
      </c>
      <c r="L385" s="40">
        <v>752.63</v>
      </c>
      <c r="M385" s="40">
        <v>494.83</v>
      </c>
      <c r="N385" s="40">
        <v>26.63</v>
      </c>
      <c r="O385" s="40">
        <v>521.46</v>
      </c>
      <c r="P385" s="40">
        <v>231.17</v>
      </c>
      <c r="Q385" s="6">
        <v>69.28504045812683</v>
      </c>
      <c r="R385" s="38"/>
    </row>
    <row r="386" spans="1:18" ht="14.25">
      <c r="A386" s="20" t="s">
        <v>29</v>
      </c>
      <c r="B386" s="40">
        <v>10594</v>
      </c>
      <c r="C386" s="40">
        <v>23.59</v>
      </c>
      <c r="D386" s="40">
        <v>10617.59</v>
      </c>
      <c r="E386" s="40">
        <v>502.09</v>
      </c>
      <c r="F386" s="40">
        <v>166.77</v>
      </c>
      <c r="G386" s="40">
        <v>474.25</v>
      </c>
      <c r="H386" s="40">
        <v>1143.11</v>
      </c>
      <c r="I386" s="40">
        <v>3.76</v>
      </c>
      <c r="J386" s="40">
        <v>9287.29</v>
      </c>
      <c r="K386" s="40">
        <v>10434.16</v>
      </c>
      <c r="L386" s="40">
        <v>183.43</v>
      </c>
      <c r="M386" s="40">
        <v>109.04</v>
      </c>
      <c r="N386" s="40">
        <v>15.46</v>
      </c>
      <c r="O386" s="40">
        <v>124.5</v>
      </c>
      <c r="P386" s="40">
        <v>58.93000000000029</v>
      </c>
      <c r="Q386" s="6">
        <v>67.8733031674207</v>
      </c>
      <c r="R386" s="38"/>
    </row>
    <row r="387" spans="1:18" ht="14.25">
      <c r="A387" s="20" t="s">
        <v>30</v>
      </c>
      <c r="B387" s="40">
        <v>1492.6</v>
      </c>
      <c r="C387" s="40">
        <v>11.84</v>
      </c>
      <c r="D387" s="40">
        <v>1504.44</v>
      </c>
      <c r="E387" s="40">
        <v>135</v>
      </c>
      <c r="F387" s="40">
        <v>289.7</v>
      </c>
      <c r="G387" s="40">
        <v>16.2</v>
      </c>
      <c r="H387" s="40">
        <v>440.9</v>
      </c>
      <c r="I387" s="40">
        <v>50.93</v>
      </c>
      <c r="J387" s="40">
        <v>997.08</v>
      </c>
      <c r="K387" s="40">
        <v>1488.91</v>
      </c>
      <c r="L387" s="40">
        <v>15.529999999999745</v>
      </c>
      <c r="M387" s="40">
        <v>14.11</v>
      </c>
      <c r="N387" s="40">
        <v>0.45</v>
      </c>
      <c r="O387" s="40">
        <v>14.56</v>
      </c>
      <c r="P387" s="40">
        <v>0.9699999999997466</v>
      </c>
      <c r="Q387" s="6">
        <v>93.75402446877165</v>
      </c>
      <c r="R387" s="38"/>
    </row>
    <row r="388" spans="1:18" ht="14.25">
      <c r="A388" s="20" t="s">
        <v>31</v>
      </c>
      <c r="B388" s="40">
        <v>1466.82</v>
      </c>
      <c r="C388" s="40">
        <v>117.33</v>
      </c>
      <c r="D388" s="40">
        <v>1584.15</v>
      </c>
      <c r="E388" s="40">
        <v>355.02</v>
      </c>
      <c r="F388" s="40">
        <v>10.84</v>
      </c>
      <c r="G388" s="40">
        <v>346.15</v>
      </c>
      <c r="H388" s="40">
        <v>712.01</v>
      </c>
      <c r="I388" s="40">
        <v>0</v>
      </c>
      <c r="J388" s="40">
        <v>369.06</v>
      </c>
      <c r="K388" s="40">
        <v>1081.07</v>
      </c>
      <c r="L388" s="40">
        <v>503.08</v>
      </c>
      <c r="M388" s="40">
        <v>374.45</v>
      </c>
      <c r="N388" s="40">
        <v>34.66</v>
      </c>
      <c r="O388" s="40">
        <v>409.11</v>
      </c>
      <c r="P388" s="40">
        <v>93.96999999999991</v>
      </c>
      <c r="Q388" s="6">
        <v>81.32106225649997</v>
      </c>
      <c r="R388" s="38"/>
    </row>
    <row r="389" spans="1:18" ht="14.25">
      <c r="A389" s="20" t="s">
        <v>32</v>
      </c>
      <c r="B389" s="40">
        <v>2322.55</v>
      </c>
      <c r="C389" s="40">
        <v>0.5</v>
      </c>
      <c r="D389" s="40">
        <v>2323.05</v>
      </c>
      <c r="E389" s="40">
        <v>226.82</v>
      </c>
      <c r="F389" s="40">
        <v>22.91</v>
      </c>
      <c r="G389" s="40">
        <v>83.87</v>
      </c>
      <c r="H389" s="40">
        <v>333.6</v>
      </c>
      <c r="I389" s="40">
        <v>0</v>
      </c>
      <c r="J389" s="40">
        <v>1977.58</v>
      </c>
      <c r="K389" s="40">
        <v>2311.18</v>
      </c>
      <c r="L389" s="40">
        <v>11.870000000000346</v>
      </c>
      <c r="M389" s="40">
        <v>7.78</v>
      </c>
      <c r="N389" s="40">
        <v>3.3</v>
      </c>
      <c r="O389" s="40">
        <v>11.08</v>
      </c>
      <c r="P389" s="40">
        <v>0.7900000000003455</v>
      </c>
      <c r="Q389" s="6">
        <v>93.34456613310596</v>
      </c>
      <c r="R389" s="38"/>
    </row>
    <row r="390" spans="1:18" ht="14.25">
      <c r="A390" s="20" t="s">
        <v>33</v>
      </c>
      <c r="B390" s="40">
        <v>1782.14</v>
      </c>
      <c r="C390" s="40">
        <v>16.06</v>
      </c>
      <c r="D390" s="40">
        <v>1798.2</v>
      </c>
      <c r="E390" s="40">
        <v>293.58</v>
      </c>
      <c r="F390" s="40">
        <v>47.73</v>
      </c>
      <c r="G390" s="40">
        <v>579.4</v>
      </c>
      <c r="H390" s="40">
        <v>920.71</v>
      </c>
      <c r="I390" s="40">
        <v>25.18</v>
      </c>
      <c r="J390" s="40">
        <v>498.34</v>
      </c>
      <c r="K390" s="40">
        <v>1444.23</v>
      </c>
      <c r="L390" s="40">
        <v>353.97</v>
      </c>
      <c r="M390" s="40">
        <v>246.91</v>
      </c>
      <c r="N390" s="40">
        <v>22.64</v>
      </c>
      <c r="O390" s="40">
        <v>269.55</v>
      </c>
      <c r="P390" s="40">
        <v>84.42</v>
      </c>
      <c r="Q390" s="6">
        <v>76.15052123061277</v>
      </c>
      <c r="R390" s="38"/>
    </row>
    <row r="391" spans="1:18" ht="14.25">
      <c r="A391" s="20" t="s">
        <v>34</v>
      </c>
      <c r="B391" s="40">
        <v>945.62</v>
      </c>
      <c r="C391" s="40">
        <v>1.73</v>
      </c>
      <c r="D391" s="40">
        <v>947.35</v>
      </c>
      <c r="E391" s="40">
        <v>458.72</v>
      </c>
      <c r="F391" s="40">
        <v>9.08</v>
      </c>
      <c r="G391" s="40">
        <v>90.63</v>
      </c>
      <c r="H391" s="40">
        <v>558.43</v>
      </c>
      <c r="I391" s="40">
        <v>63.01</v>
      </c>
      <c r="J391" s="40">
        <v>198.35</v>
      </c>
      <c r="K391" s="40">
        <v>819.79</v>
      </c>
      <c r="L391" s="40">
        <v>127.56</v>
      </c>
      <c r="M391" s="40">
        <v>37.13</v>
      </c>
      <c r="N391" s="40">
        <v>3.75</v>
      </c>
      <c r="O391" s="40">
        <v>40.88</v>
      </c>
      <c r="P391" s="40">
        <v>86.67999999999995</v>
      </c>
      <c r="Q391" s="6">
        <v>32.04766384446536</v>
      </c>
      <c r="R391" s="38"/>
    </row>
    <row r="392" spans="1:18" ht="15">
      <c r="A392" s="21" t="s">
        <v>35</v>
      </c>
      <c r="B392" s="22">
        <v>115902.03</v>
      </c>
      <c r="C392" s="22">
        <v>5195.21</v>
      </c>
      <c r="D392" s="22">
        <v>121097.24</v>
      </c>
      <c r="E392" s="22">
        <v>30406.9</v>
      </c>
      <c r="F392" s="22">
        <v>29629.61</v>
      </c>
      <c r="G392" s="22">
        <v>19078.69</v>
      </c>
      <c r="H392" s="22">
        <v>79115.2</v>
      </c>
      <c r="I392" s="41">
        <v>7785.95</v>
      </c>
      <c r="J392" s="41">
        <v>27333.4</v>
      </c>
      <c r="K392" s="41">
        <v>114234.55</v>
      </c>
      <c r="L392" s="41">
        <v>6862.690000000017</v>
      </c>
      <c r="M392" s="22">
        <v>4326.37</v>
      </c>
      <c r="N392" s="22">
        <v>897.99</v>
      </c>
      <c r="O392" s="41">
        <v>5224.36</v>
      </c>
      <c r="P392" s="41">
        <v>1638.3300000000163</v>
      </c>
      <c r="Q392" s="22">
        <v>76.12699976248362</v>
      </c>
      <c r="R392" s="38"/>
    </row>
    <row r="393" spans="9:18" ht="12.75">
      <c r="I393" s="33"/>
      <c r="J393" s="33"/>
      <c r="L393" s="33"/>
      <c r="O393" s="33"/>
      <c r="R393" s="26"/>
    </row>
    <row r="394" spans="1:18" ht="18">
      <c r="A394" s="157" t="s">
        <v>84</v>
      </c>
      <c r="B394" s="157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26"/>
    </row>
    <row r="395" spans="1:18" ht="18">
      <c r="A395" s="157" t="s">
        <v>103</v>
      </c>
      <c r="B395" s="157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26"/>
    </row>
    <row r="396" spans="1:18" ht="15.75">
      <c r="A396" s="158" t="s">
        <v>2</v>
      </c>
      <c r="B396" s="158"/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26"/>
    </row>
    <row r="397" spans="1:18" ht="12.75">
      <c r="A397" s="147" t="s">
        <v>3</v>
      </c>
      <c r="B397" s="153" t="s">
        <v>4</v>
      </c>
      <c r="C397" s="153" t="s">
        <v>5</v>
      </c>
      <c r="D397" s="153" t="s">
        <v>6</v>
      </c>
      <c r="E397" s="152" t="s">
        <v>7</v>
      </c>
      <c r="F397" s="152"/>
      <c r="G397" s="152"/>
      <c r="H397" s="153" t="s">
        <v>8</v>
      </c>
      <c r="I397" s="146" t="s">
        <v>9</v>
      </c>
      <c r="J397" s="146" t="s">
        <v>38</v>
      </c>
      <c r="K397" s="150" t="s">
        <v>11</v>
      </c>
      <c r="L397" s="146" t="s">
        <v>39</v>
      </c>
      <c r="M397" s="147" t="s">
        <v>13</v>
      </c>
      <c r="N397" s="147" t="s">
        <v>14</v>
      </c>
      <c r="O397" s="146" t="s">
        <v>15</v>
      </c>
      <c r="P397" s="147" t="s">
        <v>16</v>
      </c>
      <c r="Q397" s="147" t="s">
        <v>17</v>
      </c>
      <c r="R397" s="148" t="s">
        <v>82</v>
      </c>
    </row>
    <row r="398" spans="1:18" ht="67.5" customHeight="1">
      <c r="A398" s="147"/>
      <c r="B398" s="155"/>
      <c r="C398" s="156"/>
      <c r="D398" s="154"/>
      <c r="E398" s="19" t="s">
        <v>18</v>
      </c>
      <c r="F398" s="19" t="s">
        <v>19</v>
      </c>
      <c r="G398" s="19" t="s">
        <v>20</v>
      </c>
      <c r="H398" s="154"/>
      <c r="I398" s="146"/>
      <c r="J398" s="146"/>
      <c r="K398" s="151"/>
      <c r="L398" s="146"/>
      <c r="M398" s="147"/>
      <c r="N398" s="147"/>
      <c r="O398" s="146"/>
      <c r="P398" s="147"/>
      <c r="Q398" s="147"/>
      <c r="R398" s="149"/>
    </row>
    <row r="399" spans="1:18" ht="14.25">
      <c r="A399" s="20" t="s">
        <v>21</v>
      </c>
      <c r="B399" s="40">
        <v>169.1</v>
      </c>
      <c r="C399" s="40">
        <v>0</v>
      </c>
      <c r="D399" s="40">
        <v>169.1</v>
      </c>
      <c r="E399" s="40">
        <v>100.55</v>
      </c>
      <c r="F399" s="40">
        <v>1.62</v>
      </c>
      <c r="G399" s="40">
        <v>46.61</v>
      </c>
      <c r="H399" s="40">
        <v>148.78</v>
      </c>
      <c r="I399" s="40">
        <v>0</v>
      </c>
      <c r="J399" s="40">
        <v>0</v>
      </c>
      <c r="K399" s="40">
        <v>148.78</v>
      </c>
      <c r="L399" s="40">
        <v>20.32</v>
      </c>
      <c r="M399" s="40">
        <v>18.58</v>
      </c>
      <c r="N399" s="40">
        <v>0</v>
      </c>
      <c r="O399" s="40">
        <v>18.58</v>
      </c>
      <c r="P399" s="40">
        <v>1.7399999999999949</v>
      </c>
      <c r="Q399" s="40">
        <v>91.43700787401578</v>
      </c>
      <c r="R399" s="38"/>
    </row>
    <row r="400" spans="1:18" ht="14.25">
      <c r="A400" s="20" t="s">
        <v>22</v>
      </c>
      <c r="B400" s="40">
        <v>1292.19</v>
      </c>
      <c r="C400" s="40">
        <v>0</v>
      </c>
      <c r="D400" s="40">
        <v>1292.19</v>
      </c>
      <c r="E400" s="40">
        <v>52.3</v>
      </c>
      <c r="F400" s="40">
        <v>969.87</v>
      </c>
      <c r="G400" s="40">
        <v>79.82</v>
      </c>
      <c r="H400" s="40">
        <v>1101.99</v>
      </c>
      <c r="I400" s="40">
        <v>153.84</v>
      </c>
      <c r="J400" s="40">
        <v>8.54</v>
      </c>
      <c r="K400" s="40">
        <v>1264.37</v>
      </c>
      <c r="L400" s="40">
        <v>27.820000000000164</v>
      </c>
      <c r="M400" s="40">
        <v>21.35</v>
      </c>
      <c r="N400" s="40">
        <v>6.41</v>
      </c>
      <c r="O400" s="40">
        <v>27.76</v>
      </c>
      <c r="P400" s="40">
        <v>0.060000000000162146</v>
      </c>
      <c r="Q400" s="40">
        <v>99.78432782171042</v>
      </c>
      <c r="R400" s="38"/>
    </row>
    <row r="401" spans="1:18" ht="14.25">
      <c r="A401" s="20" t="s">
        <v>23</v>
      </c>
      <c r="B401" s="40">
        <v>10.85</v>
      </c>
      <c r="C401" s="40">
        <v>3.44</v>
      </c>
      <c r="D401" s="40">
        <v>14.29</v>
      </c>
      <c r="E401" s="40">
        <v>1.27</v>
      </c>
      <c r="F401" s="40">
        <v>3.85</v>
      </c>
      <c r="G401" s="40">
        <v>2.25</v>
      </c>
      <c r="H401" s="40">
        <v>7.37</v>
      </c>
      <c r="I401" s="40">
        <v>0</v>
      </c>
      <c r="J401" s="40">
        <v>6.92</v>
      </c>
      <c r="K401" s="40">
        <v>14.29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51"/>
    </row>
    <row r="402" spans="1:18" ht="14.25">
      <c r="A402" s="20" t="s">
        <v>24</v>
      </c>
      <c r="B402" s="40">
        <v>2.18</v>
      </c>
      <c r="C402" s="40">
        <v>0</v>
      </c>
      <c r="D402" s="40">
        <v>2.18</v>
      </c>
      <c r="E402" s="40">
        <v>0.19</v>
      </c>
      <c r="F402" s="40">
        <v>1.63</v>
      </c>
      <c r="G402" s="40">
        <v>0</v>
      </c>
      <c r="H402" s="40">
        <v>1.82</v>
      </c>
      <c r="I402" s="40">
        <v>0</v>
      </c>
      <c r="J402" s="40">
        <v>0</v>
      </c>
      <c r="K402" s="40">
        <v>1.82</v>
      </c>
      <c r="L402" s="40">
        <v>0.36</v>
      </c>
      <c r="M402" s="40">
        <v>0</v>
      </c>
      <c r="N402" s="40">
        <v>0</v>
      </c>
      <c r="O402" s="40">
        <v>0</v>
      </c>
      <c r="P402" s="40">
        <v>0.36</v>
      </c>
      <c r="Q402" s="40">
        <v>0</v>
      </c>
      <c r="R402" s="52"/>
    </row>
    <row r="403" spans="1:18" ht="14.25">
      <c r="A403" s="20" t="s">
        <v>25</v>
      </c>
      <c r="B403" s="40">
        <v>1563.38</v>
      </c>
      <c r="C403" s="40">
        <v>0.06</v>
      </c>
      <c r="D403" s="40">
        <v>1563.44</v>
      </c>
      <c r="E403" s="40">
        <v>0.85</v>
      </c>
      <c r="F403" s="40">
        <v>625.32</v>
      </c>
      <c r="G403" s="40">
        <v>10.05</v>
      </c>
      <c r="H403" s="40">
        <v>636.22</v>
      </c>
      <c r="I403" s="40">
        <v>906.32</v>
      </c>
      <c r="J403" s="40">
        <v>19.96</v>
      </c>
      <c r="K403" s="40">
        <v>1562.5</v>
      </c>
      <c r="L403" s="40">
        <v>0.9400000000000546</v>
      </c>
      <c r="M403" s="40">
        <v>0.88</v>
      </c>
      <c r="N403" s="40">
        <v>0.06</v>
      </c>
      <c r="O403" s="40">
        <v>0.94</v>
      </c>
      <c r="P403" s="40">
        <v>5.46229728115577E-14</v>
      </c>
      <c r="Q403" s="40">
        <v>99.99999999999419</v>
      </c>
      <c r="R403" s="51"/>
    </row>
    <row r="404" spans="1:18" ht="14.25">
      <c r="A404" s="20" t="s">
        <v>26</v>
      </c>
      <c r="B404" s="40">
        <v>15.32</v>
      </c>
      <c r="C404" s="40">
        <v>0</v>
      </c>
      <c r="D404" s="40">
        <v>15.32</v>
      </c>
      <c r="E404" s="40">
        <v>12.72</v>
      </c>
      <c r="F404" s="40">
        <v>0.08</v>
      </c>
      <c r="G404" s="40">
        <v>0</v>
      </c>
      <c r="H404" s="40">
        <v>12.8</v>
      </c>
      <c r="I404" s="40">
        <v>0</v>
      </c>
      <c r="J404" s="40">
        <v>1.08</v>
      </c>
      <c r="K404" s="40">
        <v>13.88</v>
      </c>
      <c r="L404" s="40">
        <v>1.44</v>
      </c>
      <c r="M404" s="40">
        <v>1.41</v>
      </c>
      <c r="N404" s="40">
        <v>0.03</v>
      </c>
      <c r="O404" s="40">
        <v>1.44</v>
      </c>
      <c r="P404" s="40">
        <v>0</v>
      </c>
      <c r="Q404" s="40">
        <v>100</v>
      </c>
      <c r="R404" s="38"/>
    </row>
    <row r="405" spans="1:18" ht="14.25">
      <c r="A405" s="20" t="s">
        <v>27</v>
      </c>
      <c r="B405" s="40">
        <v>1089.14</v>
      </c>
      <c r="C405" s="40">
        <v>0</v>
      </c>
      <c r="D405" s="40">
        <v>1089.14</v>
      </c>
      <c r="E405" s="40">
        <v>444.06</v>
      </c>
      <c r="F405" s="40">
        <v>0.74</v>
      </c>
      <c r="G405" s="40">
        <v>612.07</v>
      </c>
      <c r="H405" s="40">
        <v>1056.87</v>
      </c>
      <c r="I405" s="40">
        <v>0</v>
      </c>
      <c r="J405" s="40">
        <v>31.95</v>
      </c>
      <c r="K405" s="40">
        <v>1088.82</v>
      </c>
      <c r="L405" s="40">
        <v>0.31999999999993634</v>
      </c>
      <c r="M405" s="40">
        <v>0.29</v>
      </c>
      <c r="N405" s="40">
        <v>0.04</v>
      </c>
      <c r="O405" s="40">
        <v>0.33</v>
      </c>
      <c r="P405" s="40">
        <v>-0.010000000000063625</v>
      </c>
      <c r="Q405" s="40">
        <v>103.12500000002049</v>
      </c>
      <c r="R405" s="38" t="s">
        <v>83</v>
      </c>
    </row>
    <row r="406" spans="1:18" ht="14.25">
      <c r="A406" s="20" t="s">
        <v>28</v>
      </c>
      <c r="B406" s="40">
        <v>6.98</v>
      </c>
      <c r="C406" s="40">
        <v>0</v>
      </c>
      <c r="D406" s="40">
        <v>6.98</v>
      </c>
      <c r="E406" s="40">
        <v>0.44</v>
      </c>
      <c r="F406" s="40">
        <v>2.77</v>
      </c>
      <c r="G406" s="40">
        <v>2.68</v>
      </c>
      <c r="H406" s="40">
        <v>5.89</v>
      </c>
      <c r="I406" s="40">
        <v>0</v>
      </c>
      <c r="J406" s="40">
        <v>0</v>
      </c>
      <c r="K406" s="40">
        <v>5.89</v>
      </c>
      <c r="L406" s="40">
        <v>1.09</v>
      </c>
      <c r="M406" s="40">
        <v>0.99</v>
      </c>
      <c r="N406" s="40">
        <v>0</v>
      </c>
      <c r="O406" s="40">
        <v>0.99</v>
      </c>
      <c r="P406" s="40">
        <v>0.09999999999999987</v>
      </c>
      <c r="Q406" s="40">
        <v>90.8256880733945</v>
      </c>
      <c r="R406" s="38"/>
    </row>
    <row r="407" spans="1:18" ht="14.25">
      <c r="A407" s="20" t="s">
        <v>29</v>
      </c>
      <c r="B407" s="40">
        <v>34.98</v>
      </c>
      <c r="C407" s="40">
        <v>0.07</v>
      </c>
      <c r="D407" s="40">
        <v>35.05</v>
      </c>
      <c r="E407" s="40">
        <v>0.46</v>
      </c>
      <c r="F407" s="40">
        <v>0</v>
      </c>
      <c r="G407" s="40">
        <v>0</v>
      </c>
      <c r="H407" s="40">
        <v>0.46</v>
      </c>
      <c r="I407" s="40">
        <v>0</v>
      </c>
      <c r="J407" s="40">
        <v>26.5</v>
      </c>
      <c r="K407" s="40">
        <v>26.96</v>
      </c>
      <c r="L407" s="40">
        <v>8.09</v>
      </c>
      <c r="M407" s="40">
        <v>0.4</v>
      </c>
      <c r="N407" s="40">
        <v>0.09</v>
      </c>
      <c r="O407" s="40">
        <v>0.49</v>
      </c>
      <c r="P407" s="40">
        <v>7.6</v>
      </c>
      <c r="Q407" s="40">
        <v>6.056860321384428</v>
      </c>
      <c r="R407" s="38"/>
    </row>
    <row r="408" spans="1:18" ht="14.25">
      <c r="A408" s="20" t="s">
        <v>30</v>
      </c>
      <c r="B408" s="40">
        <v>2.75</v>
      </c>
      <c r="C408" s="40">
        <v>0</v>
      </c>
      <c r="D408" s="40">
        <v>2.75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2.75</v>
      </c>
      <c r="K408" s="40">
        <v>2.75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38"/>
    </row>
    <row r="409" spans="1:18" ht="14.25">
      <c r="A409" s="20" t="s">
        <v>31</v>
      </c>
      <c r="B409" s="40">
        <v>6.63</v>
      </c>
      <c r="C409" s="40">
        <v>0</v>
      </c>
      <c r="D409" s="40">
        <v>6.63</v>
      </c>
      <c r="E409" s="40">
        <v>3.01</v>
      </c>
      <c r="F409" s="40">
        <v>0</v>
      </c>
      <c r="G409" s="40">
        <v>0.57</v>
      </c>
      <c r="H409" s="40">
        <v>3.58</v>
      </c>
      <c r="I409" s="40">
        <v>0</v>
      </c>
      <c r="J409" s="40">
        <v>0</v>
      </c>
      <c r="K409" s="40">
        <v>3.58</v>
      </c>
      <c r="L409" s="40">
        <v>3.05</v>
      </c>
      <c r="M409" s="40">
        <v>1.61</v>
      </c>
      <c r="N409" s="40">
        <v>0</v>
      </c>
      <c r="O409" s="40">
        <v>1.61</v>
      </c>
      <c r="P409" s="40">
        <v>1.44</v>
      </c>
      <c r="Q409" s="40">
        <v>52.78688524590164</v>
      </c>
      <c r="R409" s="38"/>
    </row>
    <row r="410" spans="1:18" ht="14.25">
      <c r="A410" s="20" t="s">
        <v>32</v>
      </c>
      <c r="B410" s="40">
        <v>326.67</v>
      </c>
      <c r="C410" s="40">
        <v>0</v>
      </c>
      <c r="D410" s="40">
        <v>326.67</v>
      </c>
      <c r="E410" s="40">
        <v>55.16</v>
      </c>
      <c r="F410" s="40">
        <v>126.12</v>
      </c>
      <c r="G410" s="40">
        <v>28.18</v>
      </c>
      <c r="H410" s="40">
        <v>209.46</v>
      </c>
      <c r="I410" s="40">
        <v>0</v>
      </c>
      <c r="J410" s="40">
        <v>113.86</v>
      </c>
      <c r="K410" s="40">
        <v>323.32</v>
      </c>
      <c r="L410" s="40">
        <v>3.3500000000000227</v>
      </c>
      <c r="M410" s="40">
        <v>2.19</v>
      </c>
      <c r="N410" s="40">
        <v>0</v>
      </c>
      <c r="O410" s="40">
        <v>2.19</v>
      </c>
      <c r="P410" s="40">
        <v>1.1600000000000228</v>
      </c>
      <c r="Q410" s="40">
        <v>65.37313432835776</v>
      </c>
      <c r="R410" s="38"/>
    </row>
    <row r="411" spans="1:18" ht="14.25">
      <c r="A411" s="20" t="s">
        <v>33</v>
      </c>
      <c r="B411" s="40">
        <v>0.68</v>
      </c>
      <c r="C411" s="40">
        <v>0</v>
      </c>
      <c r="D411" s="40">
        <v>0.68</v>
      </c>
      <c r="E411" s="40">
        <v>0</v>
      </c>
      <c r="F411" s="40">
        <v>0</v>
      </c>
      <c r="G411" s="40">
        <v>0.68</v>
      </c>
      <c r="H411" s="40">
        <v>0.68</v>
      </c>
      <c r="I411" s="40">
        <v>0</v>
      </c>
      <c r="J411" s="40">
        <v>0</v>
      </c>
      <c r="K411" s="40">
        <v>0.68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38"/>
    </row>
    <row r="412" spans="1:18" ht="14.25">
      <c r="A412" s="20" t="s">
        <v>34</v>
      </c>
      <c r="B412" s="40">
        <v>16.39</v>
      </c>
      <c r="C412" s="40">
        <v>0</v>
      </c>
      <c r="D412" s="40">
        <v>16.39</v>
      </c>
      <c r="E412" s="40">
        <v>2.41</v>
      </c>
      <c r="F412" s="40">
        <v>0</v>
      </c>
      <c r="G412" s="40">
        <v>5.89</v>
      </c>
      <c r="H412" s="40">
        <v>8.3</v>
      </c>
      <c r="I412" s="40">
        <v>0.34</v>
      </c>
      <c r="J412" s="40">
        <v>7.69</v>
      </c>
      <c r="K412" s="40">
        <v>16.33</v>
      </c>
      <c r="L412" s="40">
        <v>0.05999999999999872</v>
      </c>
      <c r="M412" s="40">
        <v>0.05</v>
      </c>
      <c r="N412" s="40">
        <v>0</v>
      </c>
      <c r="O412" s="40">
        <v>0.05</v>
      </c>
      <c r="P412" s="40">
        <v>0.009999999999998718</v>
      </c>
      <c r="Q412" s="40">
        <v>83.33333333333512</v>
      </c>
      <c r="R412" s="38"/>
    </row>
    <row r="413" spans="1:18" ht="15">
      <c r="A413" s="21" t="s">
        <v>35</v>
      </c>
      <c r="B413" s="22">
        <v>4537.24</v>
      </c>
      <c r="C413" s="22">
        <v>3.57</v>
      </c>
      <c r="D413" s="22">
        <v>4540.81</v>
      </c>
      <c r="E413" s="22">
        <v>673.42</v>
      </c>
      <c r="F413" s="22">
        <v>1732</v>
      </c>
      <c r="G413" s="22">
        <v>788.8</v>
      </c>
      <c r="H413" s="22">
        <v>3194.22</v>
      </c>
      <c r="I413" s="41">
        <v>1060.5</v>
      </c>
      <c r="J413" s="41">
        <v>219.25</v>
      </c>
      <c r="K413" s="41">
        <v>4473.97</v>
      </c>
      <c r="L413" s="41">
        <v>66.84000000000106</v>
      </c>
      <c r="M413" s="22">
        <v>47.75</v>
      </c>
      <c r="N413" s="22">
        <v>6.63</v>
      </c>
      <c r="O413" s="41">
        <v>54.38</v>
      </c>
      <c r="P413" s="41">
        <v>12.46000000000106</v>
      </c>
      <c r="Q413" s="41">
        <v>81.35846798324228</v>
      </c>
      <c r="R413" s="38"/>
    </row>
    <row r="414" spans="9:18" ht="12.75">
      <c r="I414" s="33"/>
      <c r="J414" s="33"/>
      <c r="L414" s="33"/>
      <c r="O414" s="33"/>
      <c r="R414" s="26"/>
    </row>
    <row r="415" spans="1:18" ht="18">
      <c r="A415" s="157" t="s">
        <v>84</v>
      </c>
      <c r="B415" s="157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26"/>
    </row>
    <row r="416" spans="1:18" ht="18">
      <c r="A416" s="157" t="s">
        <v>104</v>
      </c>
      <c r="B416" s="157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26"/>
    </row>
    <row r="417" spans="1:18" ht="15.75">
      <c r="A417" s="158" t="s">
        <v>2</v>
      </c>
      <c r="B417" s="158"/>
      <c r="C417" s="158"/>
      <c r="D417" s="158"/>
      <c r="E417" s="158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26"/>
    </row>
    <row r="418" spans="1:18" ht="12.75">
      <c r="A418" s="147" t="s">
        <v>3</v>
      </c>
      <c r="B418" s="153" t="s">
        <v>4</v>
      </c>
      <c r="C418" s="153" t="s">
        <v>5</v>
      </c>
      <c r="D418" s="153" t="s">
        <v>6</v>
      </c>
      <c r="E418" s="152" t="s">
        <v>7</v>
      </c>
      <c r="F418" s="152"/>
      <c r="G418" s="152"/>
      <c r="H418" s="153" t="s">
        <v>8</v>
      </c>
      <c r="I418" s="146" t="s">
        <v>9</v>
      </c>
      <c r="J418" s="146" t="s">
        <v>38</v>
      </c>
      <c r="K418" s="150" t="s">
        <v>11</v>
      </c>
      <c r="L418" s="146" t="s">
        <v>39</v>
      </c>
      <c r="M418" s="147" t="s">
        <v>13</v>
      </c>
      <c r="N418" s="147" t="s">
        <v>14</v>
      </c>
      <c r="O418" s="146" t="s">
        <v>15</v>
      </c>
      <c r="P418" s="147" t="s">
        <v>16</v>
      </c>
      <c r="Q418" s="147" t="s">
        <v>17</v>
      </c>
      <c r="R418" s="148" t="s">
        <v>82</v>
      </c>
    </row>
    <row r="419" spans="1:18" ht="67.5" customHeight="1">
      <c r="A419" s="147"/>
      <c r="B419" s="155"/>
      <c r="C419" s="156"/>
      <c r="D419" s="154"/>
      <c r="E419" s="19" t="s">
        <v>18</v>
      </c>
      <c r="F419" s="19" t="s">
        <v>19</v>
      </c>
      <c r="G419" s="19" t="s">
        <v>20</v>
      </c>
      <c r="H419" s="154"/>
      <c r="I419" s="146"/>
      <c r="J419" s="146"/>
      <c r="K419" s="151"/>
      <c r="L419" s="146"/>
      <c r="M419" s="147"/>
      <c r="N419" s="147"/>
      <c r="O419" s="146"/>
      <c r="P419" s="147"/>
      <c r="Q419" s="147"/>
      <c r="R419" s="149"/>
    </row>
    <row r="420" spans="1:18" ht="14.25">
      <c r="A420" s="20" t="s">
        <v>21</v>
      </c>
      <c r="B420" s="40">
        <v>2556.63</v>
      </c>
      <c r="C420" s="40">
        <v>250.18</v>
      </c>
      <c r="D420" s="40">
        <v>2806.81</v>
      </c>
      <c r="E420" s="40">
        <v>2184.98</v>
      </c>
      <c r="F420" s="40">
        <v>19.78</v>
      </c>
      <c r="G420" s="40">
        <v>22.16</v>
      </c>
      <c r="H420" s="40">
        <v>2226.92</v>
      </c>
      <c r="I420" s="40">
        <v>7.34</v>
      </c>
      <c r="J420" s="40">
        <v>145.79</v>
      </c>
      <c r="K420" s="40">
        <v>2380.05</v>
      </c>
      <c r="L420" s="40">
        <v>426.76</v>
      </c>
      <c r="M420" s="40">
        <v>347.13</v>
      </c>
      <c r="N420" s="40">
        <v>16.47</v>
      </c>
      <c r="O420" s="40">
        <v>363.6</v>
      </c>
      <c r="P420" s="40">
        <v>63.15999999999974</v>
      </c>
      <c r="Q420" s="6">
        <v>85.20011247539607</v>
      </c>
      <c r="R420" s="38"/>
    </row>
    <row r="421" spans="1:18" ht="14.25">
      <c r="A421" s="20" t="s">
        <v>22</v>
      </c>
      <c r="B421" s="40">
        <v>284.96</v>
      </c>
      <c r="C421" s="40">
        <v>0</v>
      </c>
      <c r="D421" s="40">
        <v>284.96</v>
      </c>
      <c r="E421" s="40">
        <v>227.58</v>
      </c>
      <c r="F421" s="40">
        <v>1.91</v>
      </c>
      <c r="G421" s="40">
        <v>43.58</v>
      </c>
      <c r="H421" s="40">
        <v>273.07</v>
      </c>
      <c r="I421" s="40">
        <v>0</v>
      </c>
      <c r="J421" s="40">
        <v>3.97</v>
      </c>
      <c r="K421" s="40">
        <v>277.04</v>
      </c>
      <c r="L421" s="40">
        <v>7.919999999999959</v>
      </c>
      <c r="M421" s="40">
        <v>3.86</v>
      </c>
      <c r="N421" s="40">
        <v>0</v>
      </c>
      <c r="O421" s="40">
        <v>3.86</v>
      </c>
      <c r="P421" s="40">
        <v>4.05999999999996</v>
      </c>
      <c r="Q421" s="6">
        <v>48.73737373737399</v>
      </c>
      <c r="R421" s="38"/>
    </row>
    <row r="422" spans="1:18" ht="14.25">
      <c r="A422" s="20" t="s">
        <v>23</v>
      </c>
      <c r="B422" s="40">
        <v>630.4</v>
      </c>
      <c r="C422" s="40">
        <v>0</v>
      </c>
      <c r="D422" s="40">
        <v>630.4</v>
      </c>
      <c r="E422" s="40">
        <v>326.65</v>
      </c>
      <c r="F422" s="40">
        <v>291.99</v>
      </c>
      <c r="G422" s="40">
        <v>0</v>
      </c>
      <c r="H422" s="40">
        <v>618.64</v>
      </c>
      <c r="I422" s="40">
        <v>0</v>
      </c>
      <c r="J422" s="40">
        <v>1.29</v>
      </c>
      <c r="K422" s="40">
        <v>619.93</v>
      </c>
      <c r="L422" s="40">
        <v>10.47</v>
      </c>
      <c r="M422" s="40">
        <v>10.46</v>
      </c>
      <c r="N422" s="40">
        <v>0</v>
      </c>
      <c r="O422" s="40">
        <v>10.46</v>
      </c>
      <c r="P422" s="40">
        <v>0.010000000000026432</v>
      </c>
      <c r="Q422" s="6">
        <v>99.90448901623662</v>
      </c>
      <c r="R422" s="38"/>
    </row>
    <row r="423" spans="1:18" ht="14.25">
      <c r="A423" s="20" t="s">
        <v>24</v>
      </c>
      <c r="B423" s="40">
        <v>165.33</v>
      </c>
      <c r="C423" s="40">
        <v>0</v>
      </c>
      <c r="D423" s="40">
        <v>165.33</v>
      </c>
      <c r="E423" s="40">
        <v>95.7</v>
      </c>
      <c r="F423" s="40">
        <v>0</v>
      </c>
      <c r="G423" s="40">
        <v>0</v>
      </c>
      <c r="H423" s="40">
        <v>95.7</v>
      </c>
      <c r="I423" s="40">
        <v>3.15</v>
      </c>
      <c r="J423" s="40">
        <v>17.69</v>
      </c>
      <c r="K423" s="40">
        <v>116.54</v>
      </c>
      <c r="L423" s="40">
        <v>48.79</v>
      </c>
      <c r="M423" s="40">
        <v>42.57</v>
      </c>
      <c r="N423" s="40">
        <v>4.1</v>
      </c>
      <c r="O423" s="40">
        <v>46.67</v>
      </c>
      <c r="P423" s="40">
        <v>2.12</v>
      </c>
      <c r="Q423" s="6">
        <v>95.65484730477556</v>
      </c>
      <c r="R423" s="38"/>
    </row>
    <row r="424" spans="1:18" ht="14.25">
      <c r="A424" s="20" t="s">
        <v>25</v>
      </c>
      <c r="B424" s="40">
        <v>386.36</v>
      </c>
      <c r="C424" s="40">
        <v>0</v>
      </c>
      <c r="D424" s="40">
        <v>386.36</v>
      </c>
      <c r="E424" s="40">
        <v>210.28</v>
      </c>
      <c r="F424" s="40">
        <v>0.4</v>
      </c>
      <c r="G424" s="40">
        <v>65.73</v>
      </c>
      <c r="H424" s="40">
        <v>276.41</v>
      </c>
      <c r="I424" s="40">
        <v>0</v>
      </c>
      <c r="J424" s="40">
        <v>55.12</v>
      </c>
      <c r="K424" s="40">
        <v>331.53</v>
      </c>
      <c r="L424" s="40">
        <v>54.83</v>
      </c>
      <c r="M424" s="40">
        <v>54.79</v>
      </c>
      <c r="N424" s="40">
        <v>0</v>
      </c>
      <c r="O424" s="40">
        <v>54.79</v>
      </c>
      <c r="P424" s="40">
        <v>0.039999999999984936</v>
      </c>
      <c r="Q424" s="6">
        <v>99.92704723691412</v>
      </c>
      <c r="R424" s="38"/>
    </row>
    <row r="425" spans="1:18" ht="14.25">
      <c r="A425" s="20" t="s">
        <v>26</v>
      </c>
      <c r="B425" s="40">
        <v>294.8</v>
      </c>
      <c r="C425" s="40">
        <v>0</v>
      </c>
      <c r="D425" s="40">
        <v>294.8</v>
      </c>
      <c r="E425" s="40">
        <v>247.5</v>
      </c>
      <c r="F425" s="40">
        <v>0</v>
      </c>
      <c r="G425" s="40">
        <v>0</v>
      </c>
      <c r="H425" s="40">
        <v>247.5</v>
      </c>
      <c r="I425" s="40">
        <v>0</v>
      </c>
      <c r="J425" s="40">
        <v>9.23</v>
      </c>
      <c r="K425" s="40">
        <v>256.73</v>
      </c>
      <c r="L425" s="40">
        <v>38.07</v>
      </c>
      <c r="M425" s="40">
        <v>38.06</v>
      </c>
      <c r="N425" s="40">
        <v>0</v>
      </c>
      <c r="O425" s="40">
        <v>38.06</v>
      </c>
      <c r="P425" s="40">
        <v>0.009999999999990905</v>
      </c>
      <c r="Q425" s="6">
        <v>0</v>
      </c>
      <c r="R425" s="38"/>
    </row>
    <row r="426" spans="1:18" ht="14.25">
      <c r="A426" s="20" t="s">
        <v>27</v>
      </c>
      <c r="B426" s="40">
        <v>457.22</v>
      </c>
      <c r="C426" s="40">
        <v>9.26</v>
      </c>
      <c r="D426" s="40">
        <v>466.48</v>
      </c>
      <c r="E426" s="40">
        <v>173.38</v>
      </c>
      <c r="F426" s="40">
        <v>1.88</v>
      </c>
      <c r="G426" s="40">
        <v>24.28</v>
      </c>
      <c r="H426" s="40">
        <v>199.54</v>
      </c>
      <c r="I426" s="40">
        <v>4.82</v>
      </c>
      <c r="J426" s="40">
        <v>3.98</v>
      </c>
      <c r="K426" s="40">
        <v>208.34</v>
      </c>
      <c r="L426" s="40">
        <v>258.14</v>
      </c>
      <c r="M426" s="40">
        <v>232.2</v>
      </c>
      <c r="N426" s="40">
        <v>3.77</v>
      </c>
      <c r="O426" s="40">
        <v>235.97</v>
      </c>
      <c r="P426" s="40">
        <v>22.17</v>
      </c>
      <c r="Q426" s="6">
        <v>91.41163709614936</v>
      </c>
      <c r="R426" s="38"/>
    </row>
    <row r="427" spans="1:18" ht="14.25">
      <c r="A427" s="20" t="s">
        <v>28</v>
      </c>
      <c r="B427" s="40">
        <v>5538.5</v>
      </c>
      <c r="C427" s="40">
        <v>145.62</v>
      </c>
      <c r="D427" s="40">
        <v>5684.12</v>
      </c>
      <c r="E427" s="40">
        <v>4063.15</v>
      </c>
      <c r="F427" s="40">
        <v>197.41</v>
      </c>
      <c r="G427" s="40">
        <v>71.39</v>
      </c>
      <c r="H427" s="40">
        <v>4331.95</v>
      </c>
      <c r="I427" s="40">
        <v>155.33</v>
      </c>
      <c r="J427" s="40">
        <v>1066.32</v>
      </c>
      <c r="K427" s="40">
        <v>5553.6</v>
      </c>
      <c r="L427" s="40">
        <v>130.52</v>
      </c>
      <c r="M427" s="40">
        <v>7.4</v>
      </c>
      <c r="N427" s="40">
        <v>0.79</v>
      </c>
      <c r="O427" s="40">
        <v>8.19</v>
      </c>
      <c r="P427" s="40">
        <v>122.33</v>
      </c>
      <c r="Q427" s="6">
        <v>6.274900398406355</v>
      </c>
      <c r="R427" s="38"/>
    </row>
    <row r="428" spans="1:18" ht="14.25">
      <c r="A428" s="20" t="s">
        <v>29</v>
      </c>
      <c r="B428" s="40">
        <v>58.05</v>
      </c>
      <c r="C428" s="40">
        <v>0</v>
      </c>
      <c r="D428" s="40">
        <v>58.05</v>
      </c>
      <c r="E428" s="40">
        <v>1.89</v>
      </c>
      <c r="F428" s="40">
        <v>0</v>
      </c>
      <c r="G428" s="40">
        <v>8.5</v>
      </c>
      <c r="H428" s="40">
        <v>10.39</v>
      </c>
      <c r="I428" s="40">
        <v>0</v>
      </c>
      <c r="J428" s="40">
        <v>25.77</v>
      </c>
      <c r="K428" s="40">
        <v>36.16</v>
      </c>
      <c r="L428" s="40">
        <v>21.89</v>
      </c>
      <c r="M428" s="40">
        <v>21.38</v>
      </c>
      <c r="N428" s="40">
        <v>0</v>
      </c>
      <c r="O428" s="40">
        <v>21.38</v>
      </c>
      <c r="P428" s="40">
        <v>0.5100000000000016</v>
      </c>
      <c r="Q428" s="6">
        <v>97.67016902695293</v>
      </c>
      <c r="R428" s="38"/>
    </row>
    <row r="429" spans="1:18" ht="14.25">
      <c r="A429" s="20" t="s">
        <v>30</v>
      </c>
      <c r="B429" s="40">
        <v>0.19</v>
      </c>
      <c r="C429" s="40">
        <v>0</v>
      </c>
      <c r="D429" s="40">
        <v>0.19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  <c r="J429" s="40">
        <v>0.19</v>
      </c>
      <c r="K429" s="40">
        <v>0.19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6">
        <v>0</v>
      </c>
      <c r="R429" s="38"/>
    </row>
    <row r="430" spans="1:18" ht="14.25">
      <c r="A430" s="20" t="s">
        <v>31</v>
      </c>
      <c r="B430" s="40">
        <v>2.03</v>
      </c>
      <c r="C430" s="40">
        <v>0</v>
      </c>
      <c r="D430" s="40">
        <v>2.03</v>
      </c>
      <c r="E430" s="40">
        <v>0</v>
      </c>
      <c r="F430" s="40">
        <v>0</v>
      </c>
      <c r="G430" s="40">
        <v>0.15</v>
      </c>
      <c r="H430" s="40">
        <v>0.15</v>
      </c>
      <c r="I430" s="40">
        <v>0</v>
      </c>
      <c r="J430" s="40">
        <v>0</v>
      </c>
      <c r="K430" s="40">
        <v>0.15</v>
      </c>
      <c r="L430" s="40">
        <v>1.88</v>
      </c>
      <c r="M430" s="40">
        <v>1.12</v>
      </c>
      <c r="N430" s="40">
        <v>0</v>
      </c>
      <c r="O430" s="40">
        <v>1.12</v>
      </c>
      <c r="P430" s="40">
        <v>0.76</v>
      </c>
      <c r="Q430" s="6">
        <v>59.57446808510639</v>
      </c>
      <c r="R430" s="38"/>
    </row>
    <row r="431" spans="1:18" ht="14.25">
      <c r="A431" s="20" t="s">
        <v>32</v>
      </c>
      <c r="B431" s="40">
        <v>42.65</v>
      </c>
      <c r="C431" s="40">
        <v>0</v>
      </c>
      <c r="D431" s="40">
        <v>42.65</v>
      </c>
      <c r="E431" s="40">
        <v>42.65</v>
      </c>
      <c r="F431" s="40">
        <v>0</v>
      </c>
      <c r="G431" s="40">
        <v>0</v>
      </c>
      <c r="H431" s="40">
        <v>42.65</v>
      </c>
      <c r="I431" s="40">
        <v>0</v>
      </c>
      <c r="J431" s="40">
        <v>0</v>
      </c>
      <c r="K431" s="40">
        <v>42.65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6">
        <v>0</v>
      </c>
      <c r="R431" s="38"/>
    </row>
    <row r="432" spans="1:18" ht="14.25">
      <c r="A432" s="20" t="s">
        <v>33</v>
      </c>
      <c r="B432" s="40">
        <v>38.43</v>
      </c>
      <c r="C432" s="40">
        <v>0</v>
      </c>
      <c r="D432" s="40">
        <v>38.43</v>
      </c>
      <c r="E432" s="40">
        <v>2.86</v>
      </c>
      <c r="F432" s="40">
        <v>0</v>
      </c>
      <c r="G432" s="40">
        <v>0</v>
      </c>
      <c r="H432" s="40">
        <v>2.86</v>
      </c>
      <c r="I432" s="40">
        <v>0</v>
      </c>
      <c r="J432" s="40">
        <v>35.5</v>
      </c>
      <c r="K432" s="40">
        <v>38.36</v>
      </c>
      <c r="L432" s="40">
        <v>0.07000000000000028</v>
      </c>
      <c r="M432" s="40">
        <v>0.08</v>
      </c>
      <c r="N432" s="40">
        <v>0</v>
      </c>
      <c r="O432" s="40">
        <v>0.08</v>
      </c>
      <c r="P432" s="40">
        <v>-0.009999999999999717</v>
      </c>
      <c r="Q432" s="6">
        <v>114.28571428571381</v>
      </c>
      <c r="R432" s="38" t="s">
        <v>83</v>
      </c>
    </row>
    <row r="433" spans="1:18" ht="14.25">
      <c r="A433" s="20" t="s">
        <v>34</v>
      </c>
      <c r="B433" s="40">
        <v>83.65</v>
      </c>
      <c r="C433" s="40">
        <v>0</v>
      </c>
      <c r="D433" s="40">
        <v>83.65</v>
      </c>
      <c r="E433" s="40">
        <v>83.65</v>
      </c>
      <c r="F433" s="40">
        <v>0</v>
      </c>
      <c r="G433" s="40">
        <v>0</v>
      </c>
      <c r="H433" s="40">
        <v>83.65</v>
      </c>
      <c r="I433" s="40">
        <v>0</v>
      </c>
      <c r="J433" s="40">
        <v>0</v>
      </c>
      <c r="K433" s="40">
        <v>83.65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6">
        <v>0</v>
      </c>
      <c r="R433" s="38"/>
    </row>
    <row r="434" spans="1:18" ht="15">
      <c r="A434" s="21" t="s">
        <v>35</v>
      </c>
      <c r="B434" s="22">
        <v>10539.2</v>
      </c>
      <c r="C434" s="22">
        <v>405.06</v>
      </c>
      <c r="D434" s="22">
        <v>10944.26</v>
      </c>
      <c r="E434" s="22">
        <v>7660.27</v>
      </c>
      <c r="F434" s="22">
        <v>513.37</v>
      </c>
      <c r="G434" s="22">
        <v>235.79</v>
      </c>
      <c r="H434" s="22">
        <v>8409.43</v>
      </c>
      <c r="I434" s="41">
        <v>170.64</v>
      </c>
      <c r="J434" s="41">
        <v>1364.85</v>
      </c>
      <c r="K434" s="41">
        <v>9944.92</v>
      </c>
      <c r="L434" s="41">
        <v>999.34</v>
      </c>
      <c r="M434" s="22">
        <v>759.05</v>
      </c>
      <c r="N434" s="22">
        <v>25.13</v>
      </c>
      <c r="O434" s="41">
        <v>784.18</v>
      </c>
      <c r="P434" s="41">
        <v>215.16</v>
      </c>
      <c r="Q434" s="22">
        <v>78.46979006144056</v>
      </c>
      <c r="R434" s="38"/>
    </row>
    <row r="435" spans="9:18" ht="12.75">
      <c r="I435" s="33"/>
      <c r="J435" s="33"/>
      <c r="L435" s="33"/>
      <c r="O435" s="33"/>
      <c r="R435" s="26"/>
    </row>
    <row r="436" spans="1:18" ht="18">
      <c r="A436" s="157" t="s">
        <v>84</v>
      </c>
      <c r="B436" s="157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26"/>
    </row>
    <row r="437" spans="1:18" ht="18">
      <c r="A437" s="157" t="s">
        <v>105</v>
      </c>
      <c r="B437" s="157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26"/>
    </row>
    <row r="438" spans="1:18" ht="15.75">
      <c r="A438" s="158" t="s">
        <v>2</v>
      </c>
      <c r="B438" s="158"/>
      <c r="C438" s="158"/>
      <c r="D438" s="158"/>
      <c r="E438" s="158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26"/>
    </row>
    <row r="439" spans="1:18" ht="12.75">
      <c r="A439" s="147" t="s">
        <v>3</v>
      </c>
      <c r="B439" s="153" t="s">
        <v>4</v>
      </c>
      <c r="C439" s="153" t="s">
        <v>5</v>
      </c>
      <c r="D439" s="153" t="s">
        <v>6</v>
      </c>
      <c r="E439" s="152" t="s">
        <v>7</v>
      </c>
      <c r="F439" s="152"/>
      <c r="G439" s="152"/>
      <c r="H439" s="153" t="s">
        <v>8</v>
      </c>
      <c r="I439" s="146" t="s">
        <v>9</v>
      </c>
      <c r="J439" s="146" t="s">
        <v>38</v>
      </c>
      <c r="K439" s="150" t="s">
        <v>11</v>
      </c>
      <c r="L439" s="146" t="s">
        <v>39</v>
      </c>
      <c r="M439" s="147" t="s">
        <v>13</v>
      </c>
      <c r="N439" s="147" t="s">
        <v>14</v>
      </c>
      <c r="O439" s="146" t="s">
        <v>15</v>
      </c>
      <c r="P439" s="147" t="s">
        <v>16</v>
      </c>
      <c r="Q439" s="147" t="s">
        <v>17</v>
      </c>
      <c r="R439" s="148" t="s">
        <v>82</v>
      </c>
    </row>
    <row r="440" spans="1:18" ht="67.5" customHeight="1">
      <c r="A440" s="147"/>
      <c r="B440" s="155"/>
      <c r="C440" s="156"/>
      <c r="D440" s="154"/>
      <c r="E440" s="19" t="s">
        <v>18</v>
      </c>
      <c r="F440" s="19" t="s">
        <v>19</v>
      </c>
      <c r="G440" s="19" t="s">
        <v>20</v>
      </c>
      <c r="H440" s="154"/>
      <c r="I440" s="146"/>
      <c r="J440" s="146"/>
      <c r="K440" s="151"/>
      <c r="L440" s="146"/>
      <c r="M440" s="147"/>
      <c r="N440" s="147"/>
      <c r="O440" s="146"/>
      <c r="P440" s="147"/>
      <c r="Q440" s="147"/>
      <c r="R440" s="149"/>
    </row>
    <row r="441" spans="1:18" ht="14.25">
      <c r="A441" s="20" t="s">
        <v>21</v>
      </c>
      <c r="B441" s="40">
        <v>239.41</v>
      </c>
      <c r="C441" s="40">
        <v>3.12</v>
      </c>
      <c r="D441" s="40">
        <v>242.53</v>
      </c>
      <c r="E441" s="40">
        <v>75.25</v>
      </c>
      <c r="F441" s="40">
        <v>27.72</v>
      </c>
      <c r="G441" s="40">
        <v>18.92</v>
      </c>
      <c r="H441" s="40">
        <v>121.89</v>
      </c>
      <c r="I441" s="40">
        <v>0</v>
      </c>
      <c r="J441" s="40">
        <v>32</v>
      </c>
      <c r="K441" s="40">
        <v>153.89</v>
      </c>
      <c r="L441" s="40">
        <v>88.64</v>
      </c>
      <c r="M441" s="40">
        <v>21.98</v>
      </c>
      <c r="N441" s="40">
        <v>18.02</v>
      </c>
      <c r="O441" s="40">
        <v>40</v>
      </c>
      <c r="P441" s="40">
        <v>48.64</v>
      </c>
      <c r="Q441" s="6">
        <v>45.12635379061371</v>
      </c>
      <c r="R441" s="38"/>
    </row>
    <row r="442" spans="1:18" ht="14.25">
      <c r="A442" s="20" t="s">
        <v>22</v>
      </c>
      <c r="B442" s="40">
        <v>106.09</v>
      </c>
      <c r="C442" s="40">
        <v>2.47</v>
      </c>
      <c r="D442" s="40">
        <v>108.56</v>
      </c>
      <c r="E442" s="40">
        <v>31.84</v>
      </c>
      <c r="F442" s="40">
        <v>29.45</v>
      </c>
      <c r="G442" s="40">
        <v>0</v>
      </c>
      <c r="H442" s="40">
        <v>61.29</v>
      </c>
      <c r="I442" s="40">
        <v>0</v>
      </c>
      <c r="J442" s="40">
        <v>10.58</v>
      </c>
      <c r="K442" s="40">
        <v>71.87</v>
      </c>
      <c r="L442" s="40">
        <v>36.69</v>
      </c>
      <c r="M442" s="40">
        <v>20.53</v>
      </c>
      <c r="N442" s="40">
        <v>3.1</v>
      </c>
      <c r="O442" s="40">
        <v>23.63</v>
      </c>
      <c r="P442" s="40">
        <v>13.06</v>
      </c>
      <c r="Q442" s="6">
        <v>64.40446988280186</v>
      </c>
      <c r="R442" s="38"/>
    </row>
    <row r="443" spans="1:18" ht="14.25">
      <c r="A443" s="20" t="s">
        <v>23</v>
      </c>
      <c r="B443" s="40">
        <v>51.56</v>
      </c>
      <c r="C443" s="40">
        <v>8.59</v>
      </c>
      <c r="D443" s="40">
        <v>60.15</v>
      </c>
      <c r="E443" s="40">
        <v>9.13</v>
      </c>
      <c r="F443" s="40">
        <v>11.67</v>
      </c>
      <c r="G443" s="40">
        <v>0.13</v>
      </c>
      <c r="H443" s="40">
        <v>20.93</v>
      </c>
      <c r="I443" s="40">
        <v>18.41</v>
      </c>
      <c r="J443" s="40">
        <v>5.35</v>
      </c>
      <c r="K443" s="40">
        <v>44.69</v>
      </c>
      <c r="L443" s="40">
        <v>15.46</v>
      </c>
      <c r="M443" s="40">
        <v>11.1</v>
      </c>
      <c r="N443" s="40">
        <v>1.91</v>
      </c>
      <c r="O443" s="40">
        <v>13.01</v>
      </c>
      <c r="P443" s="40">
        <v>2.45</v>
      </c>
      <c r="Q443" s="6">
        <v>84.15265200517463</v>
      </c>
      <c r="R443" s="38"/>
    </row>
    <row r="444" spans="1:18" ht="14.25">
      <c r="A444" s="20" t="s">
        <v>24</v>
      </c>
      <c r="B444" s="40">
        <v>85.53</v>
      </c>
      <c r="C444" s="40">
        <v>1.31</v>
      </c>
      <c r="D444" s="40">
        <v>86.84</v>
      </c>
      <c r="E444" s="40">
        <v>23.56</v>
      </c>
      <c r="F444" s="40">
        <v>15.56</v>
      </c>
      <c r="G444" s="40">
        <v>0</v>
      </c>
      <c r="H444" s="40">
        <v>39.12</v>
      </c>
      <c r="I444" s="40">
        <v>0.36</v>
      </c>
      <c r="J444" s="40">
        <v>26.74</v>
      </c>
      <c r="K444" s="40">
        <v>66.22</v>
      </c>
      <c r="L444" s="40">
        <v>20.62</v>
      </c>
      <c r="M444" s="40">
        <v>14.73</v>
      </c>
      <c r="N444" s="40">
        <v>1.85</v>
      </c>
      <c r="O444" s="40">
        <v>16.58</v>
      </c>
      <c r="P444" s="40">
        <v>4.04</v>
      </c>
      <c r="Q444" s="6">
        <v>80.40737148399612</v>
      </c>
      <c r="R444" s="38"/>
    </row>
    <row r="445" spans="1:18" ht="14.25">
      <c r="A445" s="20" t="s">
        <v>25</v>
      </c>
      <c r="B445" s="40">
        <v>64.6</v>
      </c>
      <c r="C445" s="40">
        <v>3.01</v>
      </c>
      <c r="D445" s="40">
        <v>67.61</v>
      </c>
      <c r="E445" s="40">
        <v>3.23</v>
      </c>
      <c r="F445" s="40">
        <v>17.72</v>
      </c>
      <c r="G445" s="40">
        <v>2.52</v>
      </c>
      <c r="H445" s="40">
        <v>23.47</v>
      </c>
      <c r="I445" s="40">
        <v>0</v>
      </c>
      <c r="J445" s="40">
        <v>11.91</v>
      </c>
      <c r="K445" s="40">
        <v>35.38</v>
      </c>
      <c r="L445" s="40">
        <v>32.23</v>
      </c>
      <c r="M445" s="40">
        <v>22.25</v>
      </c>
      <c r="N445" s="40">
        <v>4.57</v>
      </c>
      <c r="O445" s="40">
        <v>26.82</v>
      </c>
      <c r="P445" s="40">
        <v>5.41</v>
      </c>
      <c r="Q445" s="6">
        <v>83.21439652497672</v>
      </c>
      <c r="R445" s="38"/>
    </row>
    <row r="446" spans="1:18" ht="14.25">
      <c r="A446" s="20" t="s">
        <v>26</v>
      </c>
      <c r="B446" s="40">
        <v>67.1</v>
      </c>
      <c r="C446" s="40">
        <v>0.26</v>
      </c>
      <c r="D446" s="40">
        <v>67.36</v>
      </c>
      <c r="E446" s="40">
        <v>15.74</v>
      </c>
      <c r="F446" s="40">
        <v>12.08</v>
      </c>
      <c r="G446" s="40">
        <v>0</v>
      </c>
      <c r="H446" s="40">
        <v>27.82</v>
      </c>
      <c r="I446" s="40">
        <v>0</v>
      </c>
      <c r="J446" s="40">
        <v>16.41</v>
      </c>
      <c r="K446" s="40">
        <v>44.23</v>
      </c>
      <c r="L446" s="40">
        <v>23.13</v>
      </c>
      <c r="M446" s="40">
        <v>15.6</v>
      </c>
      <c r="N446" s="40">
        <v>1.08</v>
      </c>
      <c r="O446" s="40">
        <v>16.68</v>
      </c>
      <c r="P446" s="40">
        <v>6.45</v>
      </c>
      <c r="Q446" s="6">
        <v>72.1141374837873</v>
      </c>
      <c r="R446" s="38"/>
    </row>
    <row r="447" spans="1:18" ht="14.25">
      <c r="A447" s="20" t="s">
        <v>27</v>
      </c>
      <c r="B447" s="40">
        <v>587.06</v>
      </c>
      <c r="C447" s="40">
        <v>13.66</v>
      </c>
      <c r="D447" s="40">
        <v>600.72</v>
      </c>
      <c r="E447" s="40">
        <v>479.69</v>
      </c>
      <c r="F447" s="40">
        <v>13.9</v>
      </c>
      <c r="G447" s="40">
        <v>1.97</v>
      </c>
      <c r="H447" s="40">
        <v>495.56</v>
      </c>
      <c r="I447" s="40">
        <v>1.65</v>
      </c>
      <c r="J447" s="40">
        <v>7.92</v>
      </c>
      <c r="K447" s="40">
        <v>505.13</v>
      </c>
      <c r="L447" s="40">
        <v>95.58999999999992</v>
      </c>
      <c r="M447" s="40">
        <v>25.39</v>
      </c>
      <c r="N447" s="40">
        <v>10.8</v>
      </c>
      <c r="O447" s="40">
        <v>36.19</v>
      </c>
      <c r="P447" s="40">
        <v>59.39999999999992</v>
      </c>
      <c r="Q447" s="6">
        <v>37.859608745684724</v>
      </c>
      <c r="R447" s="38"/>
    </row>
    <row r="448" spans="1:18" ht="14.25">
      <c r="A448" s="20" t="s">
        <v>28</v>
      </c>
      <c r="B448" s="40">
        <v>50.69</v>
      </c>
      <c r="C448" s="40">
        <v>0.67</v>
      </c>
      <c r="D448" s="40">
        <v>51.36</v>
      </c>
      <c r="E448" s="40">
        <v>3.15</v>
      </c>
      <c r="F448" s="40">
        <v>11</v>
      </c>
      <c r="G448" s="40">
        <v>1.81</v>
      </c>
      <c r="H448" s="40">
        <v>15.96</v>
      </c>
      <c r="I448" s="40">
        <v>0</v>
      </c>
      <c r="J448" s="40">
        <v>22.2</v>
      </c>
      <c r="K448" s="40">
        <v>38.16</v>
      </c>
      <c r="L448" s="40">
        <v>13.2</v>
      </c>
      <c r="M448" s="40">
        <v>4.91</v>
      </c>
      <c r="N448" s="40">
        <v>1.54</v>
      </c>
      <c r="O448" s="40">
        <v>6.45</v>
      </c>
      <c r="P448" s="40">
        <v>6.75</v>
      </c>
      <c r="Q448" s="6">
        <v>48.86363636363635</v>
      </c>
      <c r="R448" s="38"/>
    </row>
    <row r="449" spans="1:18" ht="14.25">
      <c r="A449" s="20" t="s">
        <v>29</v>
      </c>
      <c r="B449" s="40">
        <v>76.25</v>
      </c>
      <c r="C449" s="40">
        <v>0.49</v>
      </c>
      <c r="D449" s="40">
        <v>76.74</v>
      </c>
      <c r="E449" s="40">
        <v>15.96</v>
      </c>
      <c r="F449" s="40">
        <v>5.3</v>
      </c>
      <c r="G449" s="40">
        <v>0.3</v>
      </c>
      <c r="H449" s="40">
        <v>21.56</v>
      </c>
      <c r="I449" s="40">
        <v>0</v>
      </c>
      <c r="J449" s="40">
        <v>24.03</v>
      </c>
      <c r="K449" s="40">
        <v>45.59</v>
      </c>
      <c r="L449" s="40">
        <v>31.15</v>
      </c>
      <c r="M449" s="40">
        <v>25.37</v>
      </c>
      <c r="N449" s="40">
        <v>3.35</v>
      </c>
      <c r="O449" s="40">
        <v>28.72</v>
      </c>
      <c r="P449" s="40">
        <v>2.429999999999989</v>
      </c>
      <c r="Q449" s="6">
        <v>92.19903691813808</v>
      </c>
      <c r="R449" s="38"/>
    </row>
    <row r="450" spans="1:18" ht="14.25">
      <c r="A450" s="20" t="s">
        <v>30</v>
      </c>
      <c r="B450" s="40">
        <v>43.23</v>
      </c>
      <c r="C450" s="40">
        <v>0.2</v>
      </c>
      <c r="D450" s="40">
        <v>43.43</v>
      </c>
      <c r="E450" s="40">
        <v>5.25</v>
      </c>
      <c r="F450" s="40">
        <v>4</v>
      </c>
      <c r="G450" s="40">
        <v>1.32</v>
      </c>
      <c r="H450" s="40">
        <v>10.57</v>
      </c>
      <c r="I450" s="40">
        <v>0.67</v>
      </c>
      <c r="J450" s="40">
        <v>18.6</v>
      </c>
      <c r="K450" s="40">
        <v>29.84</v>
      </c>
      <c r="L450" s="40">
        <v>13.59</v>
      </c>
      <c r="M450" s="40">
        <v>10.54</v>
      </c>
      <c r="N450" s="40">
        <v>2.83</v>
      </c>
      <c r="O450" s="40">
        <v>13.37</v>
      </c>
      <c r="P450" s="40">
        <v>0.2199999999999971</v>
      </c>
      <c r="Q450" s="6">
        <v>98.38116261957323</v>
      </c>
      <c r="R450" s="38"/>
    </row>
    <row r="451" spans="1:18" ht="14.25">
      <c r="A451" s="20" t="s">
        <v>31</v>
      </c>
      <c r="B451" s="40">
        <v>83.76</v>
      </c>
      <c r="C451" s="40">
        <v>0</v>
      </c>
      <c r="D451" s="40">
        <v>83.76</v>
      </c>
      <c r="E451" s="40">
        <v>36.48</v>
      </c>
      <c r="F451" s="40">
        <v>2.68</v>
      </c>
      <c r="G451" s="40">
        <v>7.41</v>
      </c>
      <c r="H451" s="40">
        <v>46.57</v>
      </c>
      <c r="I451" s="40">
        <v>0</v>
      </c>
      <c r="J451" s="40">
        <v>0.22</v>
      </c>
      <c r="K451" s="40">
        <v>46.79</v>
      </c>
      <c r="L451" s="40">
        <v>36.97</v>
      </c>
      <c r="M451" s="40">
        <v>10.24</v>
      </c>
      <c r="N451" s="40">
        <v>1.37</v>
      </c>
      <c r="O451" s="40">
        <v>11.61</v>
      </c>
      <c r="P451" s="40">
        <v>25.36</v>
      </c>
      <c r="Q451" s="6">
        <v>31.40384095212333</v>
      </c>
      <c r="R451" s="38"/>
    </row>
    <row r="452" spans="1:18" ht="14.25">
      <c r="A452" s="20" t="s">
        <v>32</v>
      </c>
      <c r="B452" s="40">
        <v>17.05</v>
      </c>
      <c r="C452" s="40">
        <v>3.4</v>
      </c>
      <c r="D452" s="40">
        <v>20.45</v>
      </c>
      <c r="E452" s="40">
        <v>7.18</v>
      </c>
      <c r="F452" s="40">
        <v>2.23</v>
      </c>
      <c r="G452" s="40">
        <v>0</v>
      </c>
      <c r="H452" s="40">
        <v>9.41</v>
      </c>
      <c r="I452" s="40">
        <v>0.04</v>
      </c>
      <c r="J452" s="40">
        <v>4</v>
      </c>
      <c r="K452" s="40">
        <v>13.45</v>
      </c>
      <c r="L452" s="40">
        <v>7</v>
      </c>
      <c r="M452" s="40">
        <v>5.56</v>
      </c>
      <c r="N452" s="40">
        <v>1.4</v>
      </c>
      <c r="O452" s="40">
        <v>6.96</v>
      </c>
      <c r="P452" s="40">
        <v>0.040000000000000924</v>
      </c>
      <c r="Q452" s="6">
        <v>99.42857142857142</v>
      </c>
      <c r="R452" s="38"/>
    </row>
    <row r="453" spans="1:18" ht="14.25">
      <c r="A453" s="20" t="s">
        <v>33</v>
      </c>
      <c r="B453" s="40">
        <v>92.2</v>
      </c>
      <c r="C453" s="40">
        <v>8.11</v>
      </c>
      <c r="D453" s="40">
        <v>100.31</v>
      </c>
      <c r="E453" s="40">
        <v>39.55</v>
      </c>
      <c r="F453" s="40">
        <v>14.3</v>
      </c>
      <c r="G453" s="40">
        <v>1.45</v>
      </c>
      <c r="H453" s="40">
        <v>55.3</v>
      </c>
      <c r="I453" s="40">
        <v>0</v>
      </c>
      <c r="J453" s="40">
        <v>12.86</v>
      </c>
      <c r="K453" s="40">
        <v>68.16</v>
      </c>
      <c r="L453" s="40">
        <v>32.15</v>
      </c>
      <c r="M453" s="40">
        <v>14.25</v>
      </c>
      <c r="N453" s="40">
        <v>2.46</v>
      </c>
      <c r="O453" s="40">
        <v>16.71</v>
      </c>
      <c r="P453" s="40">
        <v>15.44</v>
      </c>
      <c r="Q453" s="6">
        <v>51.9751166407465</v>
      </c>
      <c r="R453" s="38"/>
    </row>
    <row r="454" spans="1:18" ht="14.25">
      <c r="A454" s="20" t="s">
        <v>34</v>
      </c>
      <c r="B454" s="40">
        <v>31.69</v>
      </c>
      <c r="C454" s="40">
        <v>0.92</v>
      </c>
      <c r="D454" s="40">
        <v>32.61</v>
      </c>
      <c r="E454" s="40">
        <v>8.66</v>
      </c>
      <c r="F454" s="40">
        <v>3.55</v>
      </c>
      <c r="G454" s="40">
        <v>3.21</v>
      </c>
      <c r="H454" s="40">
        <v>15.42</v>
      </c>
      <c r="I454" s="40">
        <v>0.33</v>
      </c>
      <c r="J454" s="40">
        <v>1.07</v>
      </c>
      <c r="K454" s="40">
        <v>16.82</v>
      </c>
      <c r="L454" s="40">
        <v>15.79</v>
      </c>
      <c r="M454" s="40">
        <v>4.54</v>
      </c>
      <c r="N454" s="40">
        <v>3.27</v>
      </c>
      <c r="O454" s="40">
        <v>7.81</v>
      </c>
      <c r="P454" s="40">
        <v>7.98</v>
      </c>
      <c r="Q454" s="6">
        <v>49.46168461051299</v>
      </c>
      <c r="R454" s="38"/>
    </row>
    <row r="455" spans="1:18" ht="15">
      <c r="A455" s="21" t="s">
        <v>35</v>
      </c>
      <c r="B455" s="22">
        <v>1596.22</v>
      </c>
      <c r="C455" s="22">
        <v>46.21</v>
      </c>
      <c r="D455" s="22">
        <v>1642.43</v>
      </c>
      <c r="E455" s="22">
        <v>754.67</v>
      </c>
      <c r="F455" s="22">
        <v>171.16</v>
      </c>
      <c r="G455" s="22">
        <v>39.04</v>
      </c>
      <c r="H455" s="22">
        <v>964.87</v>
      </c>
      <c r="I455" s="41">
        <v>21.46</v>
      </c>
      <c r="J455" s="41">
        <v>193.89</v>
      </c>
      <c r="K455" s="41">
        <v>1180.22</v>
      </c>
      <c r="L455" s="41">
        <v>462.21</v>
      </c>
      <c r="M455" s="22">
        <v>206.99</v>
      </c>
      <c r="N455" s="22">
        <v>57.55</v>
      </c>
      <c r="O455" s="41">
        <v>264.54</v>
      </c>
      <c r="P455" s="41">
        <v>197.67</v>
      </c>
      <c r="Q455" s="22">
        <v>57.23372493022658</v>
      </c>
      <c r="R455" s="38"/>
    </row>
    <row r="456" spans="9:18" ht="12.75">
      <c r="I456" s="33"/>
      <c r="J456" s="33"/>
      <c r="L456" s="33"/>
      <c r="O456" s="33"/>
      <c r="R456" s="26"/>
    </row>
    <row r="457" spans="1:18" ht="18">
      <c r="A457" s="157" t="s">
        <v>84</v>
      </c>
      <c r="B457" s="157"/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26"/>
    </row>
    <row r="458" spans="1:18" ht="18">
      <c r="A458" s="157" t="s">
        <v>106</v>
      </c>
      <c r="B458" s="157"/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26"/>
    </row>
    <row r="459" spans="1:18" ht="15.75">
      <c r="A459" s="158" t="s">
        <v>2</v>
      </c>
      <c r="B459" s="158"/>
      <c r="C459" s="158"/>
      <c r="D459" s="158"/>
      <c r="E459" s="158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26"/>
    </row>
    <row r="460" spans="1:18" ht="12.75">
      <c r="A460" s="147" t="s">
        <v>3</v>
      </c>
      <c r="B460" s="153" t="s">
        <v>4</v>
      </c>
      <c r="C460" s="153" t="s">
        <v>5</v>
      </c>
      <c r="D460" s="153" t="s">
        <v>6</v>
      </c>
      <c r="E460" s="152" t="s">
        <v>7</v>
      </c>
      <c r="F460" s="152"/>
      <c r="G460" s="152"/>
      <c r="H460" s="153" t="s">
        <v>8</v>
      </c>
      <c r="I460" s="146" t="s">
        <v>9</v>
      </c>
      <c r="J460" s="146" t="s">
        <v>38</v>
      </c>
      <c r="K460" s="150" t="s">
        <v>11</v>
      </c>
      <c r="L460" s="146" t="s">
        <v>39</v>
      </c>
      <c r="M460" s="147" t="s">
        <v>13</v>
      </c>
      <c r="N460" s="147" t="s">
        <v>14</v>
      </c>
      <c r="O460" s="146" t="s">
        <v>15</v>
      </c>
      <c r="P460" s="147" t="s">
        <v>16</v>
      </c>
      <c r="Q460" s="147" t="s">
        <v>17</v>
      </c>
      <c r="R460" s="148" t="s">
        <v>82</v>
      </c>
    </row>
    <row r="461" spans="1:18" ht="67.5" customHeight="1">
      <c r="A461" s="147"/>
      <c r="B461" s="155"/>
      <c r="C461" s="156"/>
      <c r="D461" s="154"/>
      <c r="E461" s="19" t="s">
        <v>18</v>
      </c>
      <c r="F461" s="19" t="s">
        <v>19</v>
      </c>
      <c r="G461" s="19" t="s">
        <v>20</v>
      </c>
      <c r="H461" s="154"/>
      <c r="I461" s="146"/>
      <c r="J461" s="146"/>
      <c r="K461" s="151"/>
      <c r="L461" s="146"/>
      <c r="M461" s="147"/>
      <c r="N461" s="147"/>
      <c r="O461" s="146"/>
      <c r="P461" s="147"/>
      <c r="Q461" s="147"/>
      <c r="R461" s="149"/>
    </row>
    <row r="462" spans="1:18" ht="14.25">
      <c r="A462" s="20" t="s">
        <v>21</v>
      </c>
      <c r="B462" s="40">
        <v>652.85</v>
      </c>
      <c r="C462" s="40">
        <v>78.02</v>
      </c>
      <c r="D462" s="40">
        <v>730.87</v>
      </c>
      <c r="E462" s="40">
        <v>79.89</v>
      </c>
      <c r="F462" s="40">
        <v>223.6</v>
      </c>
      <c r="G462" s="40">
        <v>0</v>
      </c>
      <c r="H462" s="40">
        <v>303.49</v>
      </c>
      <c r="I462" s="40">
        <v>0</v>
      </c>
      <c r="J462" s="40">
        <v>93.8</v>
      </c>
      <c r="K462" s="40">
        <v>397.29</v>
      </c>
      <c r="L462" s="40">
        <v>333.58</v>
      </c>
      <c r="M462" s="40">
        <v>187.73</v>
      </c>
      <c r="N462" s="40">
        <v>84.34</v>
      </c>
      <c r="O462" s="40">
        <v>272.07</v>
      </c>
      <c r="P462" s="40">
        <v>61.51</v>
      </c>
      <c r="Q462" s="40">
        <v>81.56064512260926</v>
      </c>
      <c r="R462" s="38"/>
    </row>
    <row r="463" spans="1:18" ht="14.25">
      <c r="A463" s="20" t="s">
        <v>22</v>
      </c>
      <c r="B463" s="40">
        <v>497.33</v>
      </c>
      <c r="C463" s="40">
        <v>0</v>
      </c>
      <c r="D463" s="40">
        <v>497.33</v>
      </c>
      <c r="E463" s="40">
        <v>16.75</v>
      </c>
      <c r="F463" s="40">
        <v>30.96</v>
      </c>
      <c r="G463" s="40">
        <v>1.33</v>
      </c>
      <c r="H463" s="40">
        <v>49.04</v>
      </c>
      <c r="I463" s="40">
        <v>0</v>
      </c>
      <c r="J463" s="40">
        <v>416.97</v>
      </c>
      <c r="K463" s="40">
        <v>466.01</v>
      </c>
      <c r="L463" s="40">
        <v>31.319999999999936</v>
      </c>
      <c r="M463" s="40">
        <v>19.68</v>
      </c>
      <c r="N463" s="40">
        <v>2.1</v>
      </c>
      <c r="O463" s="40">
        <v>21.78</v>
      </c>
      <c r="P463" s="40">
        <v>9.539999999999935</v>
      </c>
      <c r="Q463" s="40">
        <v>69.54022988505761</v>
      </c>
      <c r="R463" s="38"/>
    </row>
    <row r="464" spans="1:18" ht="14.25">
      <c r="A464" s="20" t="s">
        <v>23</v>
      </c>
      <c r="B464" s="40">
        <v>6.46</v>
      </c>
      <c r="C464" s="40">
        <v>0</v>
      </c>
      <c r="D464" s="40">
        <v>6.46</v>
      </c>
      <c r="E464" s="40">
        <v>6.22</v>
      </c>
      <c r="F464" s="40">
        <v>0.24</v>
      </c>
      <c r="G464" s="40">
        <v>0</v>
      </c>
      <c r="H464" s="40">
        <v>6.46</v>
      </c>
      <c r="I464" s="40">
        <v>0</v>
      </c>
      <c r="J464" s="40">
        <v>0</v>
      </c>
      <c r="K464" s="40">
        <v>6.46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38"/>
    </row>
    <row r="465" spans="1:18" ht="14.25">
      <c r="A465" s="20" t="s">
        <v>24</v>
      </c>
      <c r="B465" s="40">
        <v>13.37</v>
      </c>
      <c r="C465" s="40">
        <v>0</v>
      </c>
      <c r="D465" s="40">
        <v>13.37</v>
      </c>
      <c r="E465" s="40">
        <v>0</v>
      </c>
      <c r="F465" s="40">
        <v>2.43</v>
      </c>
      <c r="G465" s="40">
        <v>0</v>
      </c>
      <c r="H465" s="40">
        <v>2.43</v>
      </c>
      <c r="I465" s="40">
        <v>0</v>
      </c>
      <c r="J465" s="40">
        <v>7.09</v>
      </c>
      <c r="K465" s="40">
        <v>9.52</v>
      </c>
      <c r="L465" s="40">
        <v>3.85</v>
      </c>
      <c r="M465" s="40">
        <v>3.35</v>
      </c>
      <c r="N465" s="40">
        <v>0.42</v>
      </c>
      <c r="O465" s="40">
        <v>3.77</v>
      </c>
      <c r="P465" s="40">
        <v>0.07999999999999963</v>
      </c>
      <c r="Q465" s="40">
        <v>97.92207792207793</v>
      </c>
      <c r="R465" s="38"/>
    </row>
    <row r="466" spans="1:18" ht="14.25">
      <c r="A466" s="20" t="s">
        <v>25</v>
      </c>
      <c r="B466" s="40">
        <v>65.37</v>
      </c>
      <c r="C466" s="40">
        <v>2.13</v>
      </c>
      <c r="D466" s="40">
        <v>67.5</v>
      </c>
      <c r="E466" s="40">
        <v>0.22</v>
      </c>
      <c r="F466" s="40">
        <v>4.45</v>
      </c>
      <c r="G466" s="40">
        <v>0</v>
      </c>
      <c r="H466" s="40">
        <v>4.67</v>
      </c>
      <c r="I466" s="40">
        <v>0</v>
      </c>
      <c r="J466" s="40">
        <v>49.58</v>
      </c>
      <c r="K466" s="40">
        <v>54.25</v>
      </c>
      <c r="L466" s="40">
        <v>13.25</v>
      </c>
      <c r="M466" s="40">
        <v>9.85</v>
      </c>
      <c r="N466" s="40">
        <v>2.66</v>
      </c>
      <c r="O466" s="40">
        <v>12.51</v>
      </c>
      <c r="P466" s="40">
        <v>0.74</v>
      </c>
      <c r="Q466" s="40">
        <v>94.41509433962264</v>
      </c>
      <c r="R466" s="38"/>
    </row>
    <row r="467" spans="1:18" ht="14.25">
      <c r="A467" s="20" t="s">
        <v>26</v>
      </c>
      <c r="B467" s="40">
        <v>7.52</v>
      </c>
      <c r="C467" s="40">
        <v>0</v>
      </c>
      <c r="D467" s="40">
        <v>7.52</v>
      </c>
      <c r="E467" s="40">
        <v>3.55</v>
      </c>
      <c r="F467" s="40">
        <v>1.69</v>
      </c>
      <c r="G467" s="40">
        <v>0</v>
      </c>
      <c r="H467" s="40">
        <v>5.24</v>
      </c>
      <c r="I467" s="40">
        <v>0.31</v>
      </c>
      <c r="J467" s="40">
        <v>0</v>
      </c>
      <c r="K467" s="40">
        <v>5.55</v>
      </c>
      <c r="L467" s="40">
        <v>1.97</v>
      </c>
      <c r="M467" s="40">
        <v>1.47</v>
      </c>
      <c r="N467" s="40">
        <v>0.09</v>
      </c>
      <c r="O467" s="40">
        <v>1.56</v>
      </c>
      <c r="P467" s="40">
        <v>0.41</v>
      </c>
      <c r="Q467" s="40">
        <v>79.18781725888326</v>
      </c>
      <c r="R467" s="38"/>
    </row>
    <row r="468" spans="1:18" ht="14.25">
      <c r="A468" s="20" t="s">
        <v>27</v>
      </c>
      <c r="B468" s="40">
        <v>400.15</v>
      </c>
      <c r="C468" s="40">
        <v>0</v>
      </c>
      <c r="D468" s="40">
        <v>400.15</v>
      </c>
      <c r="E468" s="40">
        <v>96.47</v>
      </c>
      <c r="F468" s="40">
        <v>23.21</v>
      </c>
      <c r="G468" s="40">
        <v>185.04</v>
      </c>
      <c r="H468" s="40">
        <v>304.72</v>
      </c>
      <c r="I468" s="40">
        <v>0</v>
      </c>
      <c r="J468" s="40">
        <v>8.16</v>
      </c>
      <c r="K468" s="40">
        <v>312.88</v>
      </c>
      <c r="L468" s="40">
        <v>87.26999999999992</v>
      </c>
      <c r="M468" s="40">
        <v>55.46</v>
      </c>
      <c r="N468" s="40">
        <v>17.96</v>
      </c>
      <c r="O468" s="40">
        <v>73.42</v>
      </c>
      <c r="P468" s="40">
        <v>13.849999999999923</v>
      </c>
      <c r="Q468" s="40">
        <v>84.1297123868455</v>
      </c>
      <c r="R468" s="20"/>
    </row>
    <row r="469" spans="1:18" ht="14.25">
      <c r="A469" s="20" t="s">
        <v>28</v>
      </c>
      <c r="B469" s="40">
        <v>43.59</v>
      </c>
      <c r="C469" s="40">
        <v>0</v>
      </c>
      <c r="D469" s="40">
        <v>43.59</v>
      </c>
      <c r="E469" s="40">
        <v>8.5</v>
      </c>
      <c r="F469" s="40">
        <v>15.06</v>
      </c>
      <c r="G469" s="40">
        <v>1.24</v>
      </c>
      <c r="H469" s="40">
        <v>24.8</v>
      </c>
      <c r="I469" s="40">
        <v>0</v>
      </c>
      <c r="J469" s="40">
        <v>0</v>
      </c>
      <c r="K469" s="40">
        <v>24.8</v>
      </c>
      <c r="L469" s="40">
        <v>18.79</v>
      </c>
      <c r="M469" s="40">
        <v>7.88</v>
      </c>
      <c r="N469" s="40">
        <v>0.35</v>
      </c>
      <c r="O469" s="40">
        <v>8.23</v>
      </c>
      <c r="P469" s="40">
        <v>10.56</v>
      </c>
      <c r="Q469" s="40">
        <v>43.79989356040447</v>
      </c>
      <c r="R469" s="20"/>
    </row>
    <row r="470" spans="1:18" ht="14.25">
      <c r="A470" s="20" t="s">
        <v>29</v>
      </c>
      <c r="B470" s="40">
        <v>58.41</v>
      </c>
      <c r="C470" s="40">
        <v>2.09</v>
      </c>
      <c r="D470" s="40">
        <v>60.5</v>
      </c>
      <c r="E470" s="40">
        <v>41.2</v>
      </c>
      <c r="F470" s="40">
        <v>7.32</v>
      </c>
      <c r="G470" s="40">
        <v>0</v>
      </c>
      <c r="H470" s="40">
        <v>48.52</v>
      </c>
      <c r="I470" s="40">
        <v>0</v>
      </c>
      <c r="J470" s="40">
        <v>2.35</v>
      </c>
      <c r="K470" s="40">
        <v>50.87</v>
      </c>
      <c r="L470" s="40">
        <v>9.63</v>
      </c>
      <c r="M470" s="40">
        <v>2.87</v>
      </c>
      <c r="N470" s="40">
        <v>0.54</v>
      </c>
      <c r="O470" s="40">
        <v>3.41</v>
      </c>
      <c r="P470" s="40">
        <v>6.22</v>
      </c>
      <c r="Q470" s="40">
        <v>35.41017653167188</v>
      </c>
      <c r="R470" s="20"/>
    </row>
    <row r="471" spans="1:18" ht="14.25">
      <c r="A471" s="20" t="s">
        <v>30</v>
      </c>
      <c r="B471" s="40">
        <v>6.88</v>
      </c>
      <c r="C471" s="40">
        <v>0</v>
      </c>
      <c r="D471" s="40">
        <v>6.88</v>
      </c>
      <c r="E471" s="40">
        <v>0</v>
      </c>
      <c r="F471" s="40">
        <v>2.97</v>
      </c>
      <c r="G471" s="40">
        <v>0</v>
      </c>
      <c r="H471" s="40">
        <v>2.97</v>
      </c>
      <c r="I471" s="40">
        <v>0</v>
      </c>
      <c r="J471" s="40">
        <v>3.91</v>
      </c>
      <c r="K471" s="40">
        <v>6.88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20"/>
    </row>
    <row r="472" spans="1:18" ht="14.25">
      <c r="A472" s="20" t="s">
        <v>31</v>
      </c>
      <c r="B472" s="40">
        <v>67.56</v>
      </c>
      <c r="C472" s="40">
        <v>0</v>
      </c>
      <c r="D472" s="40">
        <v>67.56</v>
      </c>
      <c r="E472" s="40">
        <v>7.59</v>
      </c>
      <c r="F472" s="40">
        <v>4.7</v>
      </c>
      <c r="G472" s="40">
        <v>14.35</v>
      </c>
      <c r="H472" s="40">
        <v>26.64</v>
      </c>
      <c r="I472" s="40">
        <v>0</v>
      </c>
      <c r="J472" s="40">
        <v>0.27</v>
      </c>
      <c r="K472" s="40">
        <v>26.91</v>
      </c>
      <c r="L472" s="40">
        <v>40.65</v>
      </c>
      <c r="M472" s="40">
        <v>14.26</v>
      </c>
      <c r="N472" s="40">
        <v>2.8</v>
      </c>
      <c r="O472" s="40">
        <v>17.06</v>
      </c>
      <c r="P472" s="40">
        <v>23.59</v>
      </c>
      <c r="Q472" s="40">
        <v>41.9680196801968</v>
      </c>
      <c r="R472" s="20"/>
    </row>
    <row r="473" spans="1:18" ht="14.25">
      <c r="A473" s="20" t="s">
        <v>32</v>
      </c>
      <c r="B473" s="40">
        <v>55.58</v>
      </c>
      <c r="C473" s="40">
        <v>0</v>
      </c>
      <c r="D473" s="40">
        <v>55.58</v>
      </c>
      <c r="E473" s="40">
        <v>0</v>
      </c>
      <c r="F473" s="40">
        <v>24.26</v>
      </c>
      <c r="G473" s="40">
        <v>0</v>
      </c>
      <c r="H473" s="40">
        <v>24.26</v>
      </c>
      <c r="I473" s="40">
        <v>0</v>
      </c>
      <c r="J473" s="40">
        <v>10.88</v>
      </c>
      <c r="K473" s="40">
        <v>35.14</v>
      </c>
      <c r="L473" s="40">
        <v>20.44</v>
      </c>
      <c r="M473" s="40">
        <v>14.81</v>
      </c>
      <c r="N473" s="40">
        <v>2.29</v>
      </c>
      <c r="O473" s="40">
        <v>17.1</v>
      </c>
      <c r="P473" s="40">
        <v>3.34</v>
      </c>
      <c r="Q473" s="40">
        <v>83.6594911937378</v>
      </c>
      <c r="R473" s="20"/>
    </row>
    <row r="474" spans="1:18" ht="14.25">
      <c r="A474" s="20" t="s">
        <v>33</v>
      </c>
      <c r="B474" s="40">
        <v>0</v>
      </c>
      <c r="C474" s="40">
        <v>0</v>
      </c>
      <c r="D474" s="40">
        <v>0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20"/>
    </row>
    <row r="475" spans="1:18" ht="14.25">
      <c r="A475" s="20" t="s">
        <v>34</v>
      </c>
      <c r="B475" s="40">
        <v>0</v>
      </c>
      <c r="C475" s="40">
        <v>0</v>
      </c>
      <c r="D475" s="40">
        <v>0</v>
      </c>
      <c r="E475" s="40">
        <v>0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20"/>
    </row>
    <row r="476" spans="1:18" ht="15">
      <c r="A476" s="21" t="s">
        <v>35</v>
      </c>
      <c r="B476" s="22">
        <v>1875.07</v>
      </c>
      <c r="C476" s="22">
        <v>82.24</v>
      </c>
      <c r="D476" s="22">
        <v>1957.31</v>
      </c>
      <c r="E476" s="22">
        <v>260.39</v>
      </c>
      <c r="F476" s="22">
        <v>340.89</v>
      </c>
      <c r="G476" s="22">
        <v>201.96</v>
      </c>
      <c r="H476" s="22">
        <v>803.24</v>
      </c>
      <c r="I476" s="41">
        <v>0.31</v>
      </c>
      <c r="J476" s="41">
        <v>593.01</v>
      </c>
      <c r="K476" s="41">
        <v>1396.56</v>
      </c>
      <c r="L476" s="41">
        <v>560.75</v>
      </c>
      <c r="M476" s="22">
        <v>317.36</v>
      </c>
      <c r="N476" s="22">
        <v>113.55</v>
      </c>
      <c r="O476" s="41">
        <v>430.91</v>
      </c>
      <c r="P476" s="41">
        <v>129.84</v>
      </c>
      <c r="Q476" s="41">
        <v>76.84529647793138</v>
      </c>
      <c r="R476" s="20"/>
    </row>
    <row r="477" spans="9:15" ht="12.75">
      <c r="I477" s="33"/>
      <c r="J477" s="33"/>
      <c r="L477" s="33"/>
      <c r="O477" s="33"/>
    </row>
    <row r="478" spans="1:17" ht="18">
      <c r="A478" s="157" t="s">
        <v>84</v>
      </c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57"/>
    </row>
    <row r="479" spans="1:17" ht="18">
      <c r="A479" s="157" t="s">
        <v>107</v>
      </c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</row>
    <row r="480" spans="1:17" ht="15.75">
      <c r="A480" s="158" t="s">
        <v>2</v>
      </c>
      <c r="B480" s="158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</row>
    <row r="481" spans="1:18" ht="12.75">
      <c r="A481" s="147" t="s">
        <v>3</v>
      </c>
      <c r="B481" s="153" t="s">
        <v>4</v>
      </c>
      <c r="C481" s="153" t="s">
        <v>5</v>
      </c>
      <c r="D481" s="153" t="s">
        <v>6</v>
      </c>
      <c r="E481" s="152" t="s">
        <v>7</v>
      </c>
      <c r="F481" s="152"/>
      <c r="G481" s="152"/>
      <c r="H481" s="153" t="s">
        <v>8</v>
      </c>
      <c r="I481" s="146" t="s">
        <v>9</v>
      </c>
      <c r="J481" s="146" t="s">
        <v>38</v>
      </c>
      <c r="K481" s="150" t="s">
        <v>11</v>
      </c>
      <c r="L481" s="146" t="s">
        <v>39</v>
      </c>
      <c r="M481" s="147" t="s">
        <v>13</v>
      </c>
      <c r="N481" s="147" t="s">
        <v>14</v>
      </c>
      <c r="O481" s="146" t="s">
        <v>15</v>
      </c>
      <c r="P481" s="147" t="s">
        <v>16</v>
      </c>
      <c r="Q481" s="147" t="s">
        <v>17</v>
      </c>
      <c r="R481" s="148" t="s">
        <v>82</v>
      </c>
    </row>
    <row r="482" spans="1:18" ht="67.5" customHeight="1">
      <c r="A482" s="147"/>
      <c r="B482" s="155"/>
      <c r="C482" s="156"/>
      <c r="D482" s="154"/>
      <c r="E482" s="19" t="s">
        <v>18</v>
      </c>
      <c r="F482" s="19" t="s">
        <v>19</v>
      </c>
      <c r="G482" s="19" t="s">
        <v>20</v>
      </c>
      <c r="H482" s="154"/>
      <c r="I482" s="146"/>
      <c r="J482" s="146"/>
      <c r="K482" s="151"/>
      <c r="L482" s="146"/>
      <c r="M482" s="147"/>
      <c r="N482" s="147"/>
      <c r="O482" s="146"/>
      <c r="P482" s="147"/>
      <c r="Q482" s="147"/>
      <c r="R482" s="149"/>
    </row>
    <row r="483" spans="1:18" ht="14.25">
      <c r="A483" s="20" t="s">
        <v>21</v>
      </c>
      <c r="B483" s="40">
        <v>0</v>
      </c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20"/>
    </row>
    <row r="484" spans="1:18" ht="14.25">
      <c r="A484" s="20" t="s">
        <v>22</v>
      </c>
      <c r="B484" s="40">
        <v>5.58</v>
      </c>
      <c r="C484" s="40">
        <v>0</v>
      </c>
      <c r="D484" s="40">
        <v>5.58</v>
      </c>
      <c r="E484" s="40">
        <v>4.43</v>
      </c>
      <c r="F484" s="40">
        <v>1.06</v>
      </c>
      <c r="G484" s="40">
        <v>0</v>
      </c>
      <c r="H484" s="40">
        <v>5.49</v>
      </c>
      <c r="I484" s="40">
        <v>0</v>
      </c>
      <c r="J484" s="40">
        <v>0</v>
      </c>
      <c r="K484" s="40">
        <v>5.49</v>
      </c>
      <c r="L484" s="40">
        <v>0.08999999999999986</v>
      </c>
      <c r="M484" s="40">
        <v>0</v>
      </c>
      <c r="N484" s="40">
        <v>0</v>
      </c>
      <c r="O484" s="40">
        <v>0</v>
      </c>
      <c r="P484" s="40">
        <v>0.08999999999999986</v>
      </c>
      <c r="Q484" s="40">
        <v>0</v>
      </c>
      <c r="R484" s="20"/>
    </row>
    <row r="485" spans="1:18" ht="14.25">
      <c r="A485" s="20" t="s">
        <v>23</v>
      </c>
      <c r="B485" s="40">
        <v>0</v>
      </c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>
        <v>0</v>
      </c>
      <c r="R485" s="20"/>
    </row>
    <row r="486" spans="1:18" ht="14.25">
      <c r="A486" s="20" t="s">
        <v>24</v>
      </c>
      <c r="B486" s="40">
        <v>0</v>
      </c>
      <c r="C486" s="40">
        <v>0</v>
      </c>
      <c r="D486" s="40">
        <v>0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20"/>
    </row>
    <row r="487" spans="1:18" ht="14.25">
      <c r="A487" s="20" t="s">
        <v>25</v>
      </c>
      <c r="B487" s="40">
        <v>0</v>
      </c>
      <c r="C487" s="40">
        <v>0</v>
      </c>
      <c r="D487" s="40">
        <v>0</v>
      </c>
      <c r="E487" s="40">
        <v>0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20"/>
    </row>
    <row r="488" spans="1:18" ht="14.25">
      <c r="A488" s="20" t="s">
        <v>26</v>
      </c>
      <c r="B488" s="40">
        <v>3.35</v>
      </c>
      <c r="C488" s="40">
        <v>0</v>
      </c>
      <c r="D488" s="40">
        <v>3.35</v>
      </c>
      <c r="E488" s="40">
        <v>0</v>
      </c>
      <c r="F488" s="40">
        <v>3.34</v>
      </c>
      <c r="G488" s="40">
        <v>0</v>
      </c>
      <c r="H488" s="40">
        <v>3.34</v>
      </c>
      <c r="I488" s="40">
        <v>0</v>
      </c>
      <c r="J488" s="40">
        <v>0</v>
      </c>
      <c r="K488" s="40">
        <v>3.34</v>
      </c>
      <c r="L488" s="40">
        <v>0.010000000000000231</v>
      </c>
      <c r="M488" s="40">
        <v>0</v>
      </c>
      <c r="N488" s="40">
        <v>0</v>
      </c>
      <c r="O488" s="40">
        <v>0</v>
      </c>
      <c r="P488" s="40">
        <v>0.010000000000000231</v>
      </c>
      <c r="Q488" s="40">
        <v>0</v>
      </c>
      <c r="R488" s="20"/>
    </row>
    <row r="489" spans="1:18" ht="14.25">
      <c r="A489" s="20" t="s">
        <v>27</v>
      </c>
      <c r="B489" s="40">
        <v>1450.36</v>
      </c>
      <c r="C489" s="40">
        <v>0</v>
      </c>
      <c r="D489" s="40">
        <v>1450.36</v>
      </c>
      <c r="E489" s="40">
        <v>1442.54</v>
      </c>
      <c r="F489" s="40">
        <v>7.82</v>
      </c>
      <c r="G489" s="40">
        <v>0</v>
      </c>
      <c r="H489" s="40">
        <v>1450.36</v>
      </c>
      <c r="I489" s="40">
        <v>0</v>
      </c>
      <c r="J489" s="40">
        <v>0</v>
      </c>
      <c r="K489" s="40">
        <v>1450.36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20"/>
    </row>
    <row r="490" spans="1:18" ht="14.25">
      <c r="A490" s="20" t="s">
        <v>28</v>
      </c>
      <c r="B490" s="40">
        <v>21.75</v>
      </c>
      <c r="C490" s="40">
        <v>0</v>
      </c>
      <c r="D490" s="40">
        <v>21.75</v>
      </c>
      <c r="E490" s="40">
        <v>14.74</v>
      </c>
      <c r="F490" s="40">
        <v>2.15</v>
      </c>
      <c r="G490" s="40">
        <v>0</v>
      </c>
      <c r="H490" s="40">
        <v>16.89</v>
      </c>
      <c r="I490" s="40">
        <v>0</v>
      </c>
      <c r="J490" s="40">
        <v>0</v>
      </c>
      <c r="K490" s="40">
        <v>16.89</v>
      </c>
      <c r="L490" s="40">
        <v>4.86</v>
      </c>
      <c r="M490" s="40">
        <v>0.04</v>
      </c>
      <c r="N490" s="40">
        <v>0</v>
      </c>
      <c r="O490" s="40">
        <v>0.04</v>
      </c>
      <c r="P490" s="40">
        <v>4.82</v>
      </c>
      <c r="Q490" s="40">
        <v>0.823045267489712</v>
      </c>
      <c r="R490" s="20"/>
    </row>
    <row r="491" spans="1:18" ht="14.25">
      <c r="A491" s="20" t="s">
        <v>29</v>
      </c>
      <c r="B491" s="40">
        <v>0</v>
      </c>
      <c r="C491" s="40">
        <v>0</v>
      </c>
      <c r="D491" s="40">
        <v>0</v>
      </c>
      <c r="E491" s="40">
        <v>0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20"/>
    </row>
    <row r="492" spans="1:18" ht="14.25">
      <c r="A492" s="20" t="s">
        <v>30</v>
      </c>
      <c r="B492" s="40">
        <v>0</v>
      </c>
      <c r="C492" s="40">
        <v>0</v>
      </c>
      <c r="D492" s="40">
        <v>0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38"/>
    </row>
    <row r="493" spans="1:18" ht="14.25">
      <c r="A493" s="20" t="s">
        <v>31</v>
      </c>
      <c r="B493" s="40">
        <v>8.4</v>
      </c>
      <c r="C493" s="40">
        <v>0</v>
      </c>
      <c r="D493" s="40">
        <v>8.4</v>
      </c>
      <c r="E493" s="40">
        <v>0.55</v>
      </c>
      <c r="F493" s="40">
        <v>4.05</v>
      </c>
      <c r="G493" s="40">
        <v>0</v>
      </c>
      <c r="H493" s="40">
        <v>4.6</v>
      </c>
      <c r="I493" s="40">
        <v>0</v>
      </c>
      <c r="J493" s="40">
        <v>0</v>
      </c>
      <c r="K493" s="40">
        <v>4.6</v>
      </c>
      <c r="L493" s="40">
        <v>3.8</v>
      </c>
      <c r="M493" s="40">
        <v>0</v>
      </c>
      <c r="N493" s="40">
        <v>0</v>
      </c>
      <c r="O493" s="40">
        <v>0</v>
      </c>
      <c r="P493" s="40">
        <v>3.8</v>
      </c>
      <c r="Q493" s="40">
        <v>0</v>
      </c>
      <c r="R493" s="20"/>
    </row>
    <row r="494" spans="1:18" ht="14.25">
      <c r="A494" s="20" t="s">
        <v>32</v>
      </c>
      <c r="B494" s="40">
        <v>0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20"/>
    </row>
    <row r="495" spans="1:18" ht="14.25">
      <c r="A495" s="20" t="s">
        <v>33</v>
      </c>
      <c r="B495" s="40">
        <v>0</v>
      </c>
      <c r="C495" s="40">
        <v>0</v>
      </c>
      <c r="D495" s="40">
        <v>0</v>
      </c>
      <c r="E495" s="40">
        <v>0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20"/>
    </row>
    <row r="496" spans="1:18" ht="14.25">
      <c r="A496" s="20" t="s">
        <v>34</v>
      </c>
      <c r="B496" s="40">
        <v>0</v>
      </c>
      <c r="C496" s="40">
        <v>0</v>
      </c>
      <c r="D496" s="40">
        <v>0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20"/>
    </row>
    <row r="497" spans="1:18" ht="15">
      <c r="A497" s="21" t="s">
        <v>35</v>
      </c>
      <c r="B497" s="22">
        <v>1489.44</v>
      </c>
      <c r="C497" s="22">
        <v>0</v>
      </c>
      <c r="D497" s="22">
        <v>1489.44</v>
      </c>
      <c r="E497" s="22">
        <v>1462.26</v>
      </c>
      <c r="F497" s="22">
        <v>18.42</v>
      </c>
      <c r="G497" s="22">
        <v>0</v>
      </c>
      <c r="H497" s="22">
        <v>1480.68</v>
      </c>
      <c r="I497" s="41">
        <v>0</v>
      </c>
      <c r="J497" s="41">
        <v>0</v>
      </c>
      <c r="K497" s="41">
        <v>1480.68</v>
      </c>
      <c r="L497" s="41">
        <v>8.760000000000218</v>
      </c>
      <c r="M497" s="22">
        <v>0.04</v>
      </c>
      <c r="N497" s="22">
        <v>0</v>
      </c>
      <c r="O497" s="41">
        <v>0.04</v>
      </c>
      <c r="P497" s="41">
        <v>8.72000000000022</v>
      </c>
      <c r="Q497" s="41">
        <v>0.45662100456619864</v>
      </c>
      <c r="R497" s="20"/>
    </row>
    <row r="498" spans="9:15" ht="12.75">
      <c r="I498" s="33"/>
      <c r="J498" s="33"/>
      <c r="L498" s="33"/>
      <c r="O498" s="33"/>
    </row>
    <row r="499" spans="1:17" ht="18">
      <c r="A499" s="157" t="s">
        <v>84</v>
      </c>
      <c r="B499" s="157"/>
      <c r="C499" s="157"/>
      <c r="D499" s="157"/>
      <c r="E499" s="157"/>
      <c r="F499" s="157"/>
      <c r="G499" s="157"/>
      <c r="H499" s="157"/>
      <c r="I499" s="157"/>
      <c r="J499" s="157"/>
      <c r="K499" s="157"/>
      <c r="L499" s="157"/>
      <c r="M499" s="157"/>
      <c r="N499" s="157"/>
      <c r="O499" s="157"/>
      <c r="P499" s="157"/>
      <c r="Q499" s="157"/>
    </row>
    <row r="500" spans="1:17" ht="18">
      <c r="A500" s="157" t="s">
        <v>108</v>
      </c>
      <c r="B500" s="157"/>
      <c r="C500" s="157"/>
      <c r="D500" s="157"/>
      <c r="E500" s="157"/>
      <c r="F500" s="157"/>
      <c r="G500" s="157"/>
      <c r="H500" s="157"/>
      <c r="I500" s="157"/>
      <c r="J500" s="157"/>
      <c r="K500" s="157"/>
      <c r="L500" s="157"/>
      <c r="M500" s="157"/>
      <c r="N500" s="157"/>
      <c r="O500" s="157"/>
      <c r="P500" s="157"/>
      <c r="Q500" s="157"/>
    </row>
    <row r="501" spans="1:17" ht="15.75">
      <c r="A501" s="158" t="s">
        <v>2</v>
      </c>
      <c r="B501" s="158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</row>
    <row r="502" spans="1:18" ht="12.75">
      <c r="A502" s="147" t="s">
        <v>3</v>
      </c>
      <c r="B502" s="153" t="s">
        <v>4</v>
      </c>
      <c r="C502" s="153" t="s">
        <v>5</v>
      </c>
      <c r="D502" s="153" t="s">
        <v>6</v>
      </c>
      <c r="E502" s="152" t="s">
        <v>7</v>
      </c>
      <c r="F502" s="152"/>
      <c r="G502" s="152"/>
      <c r="H502" s="153" t="s">
        <v>8</v>
      </c>
      <c r="I502" s="146" t="s">
        <v>9</v>
      </c>
      <c r="J502" s="146" t="s">
        <v>38</v>
      </c>
      <c r="K502" s="150" t="s">
        <v>11</v>
      </c>
      <c r="L502" s="146" t="s">
        <v>39</v>
      </c>
      <c r="M502" s="147" t="s">
        <v>13</v>
      </c>
      <c r="N502" s="147" t="s">
        <v>14</v>
      </c>
      <c r="O502" s="146" t="s">
        <v>15</v>
      </c>
      <c r="P502" s="147" t="s">
        <v>16</v>
      </c>
      <c r="Q502" s="147" t="s">
        <v>17</v>
      </c>
      <c r="R502" s="148" t="s">
        <v>82</v>
      </c>
    </row>
    <row r="503" spans="1:18" ht="67.5" customHeight="1">
      <c r="A503" s="147"/>
      <c r="B503" s="155"/>
      <c r="C503" s="156"/>
      <c r="D503" s="154"/>
      <c r="E503" s="19" t="s">
        <v>18</v>
      </c>
      <c r="F503" s="19" t="s">
        <v>19</v>
      </c>
      <c r="G503" s="19" t="s">
        <v>20</v>
      </c>
      <c r="H503" s="154"/>
      <c r="I503" s="146"/>
      <c r="J503" s="146"/>
      <c r="K503" s="151"/>
      <c r="L503" s="146"/>
      <c r="M503" s="147"/>
      <c r="N503" s="147"/>
      <c r="O503" s="146"/>
      <c r="P503" s="147"/>
      <c r="Q503" s="147"/>
      <c r="R503" s="149"/>
    </row>
    <row r="504" spans="1:18" ht="14.25">
      <c r="A504" s="20" t="s">
        <v>21</v>
      </c>
      <c r="B504" s="40">
        <v>892.56</v>
      </c>
      <c r="C504" s="40">
        <v>3.08</v>
      </c>
      <c r="D504" s="40">
        <v>895.64</v>
      </c>
      <c r="E504" s="40">
        <v>71.29</v>
      </c>
      <c r="F504" s="40">
        <v>212.66</v>
      </c>
      <c r="G504" s="40">
        <v>0</v>
      </c>
      <c r="H504" s="40">
        <v>283.95</v>
      </c>
      <c r="I504" s="40">
        <v>0.6</v>
      </c>
      <c r="J504" s="40">
        <v>231.54</v>
      </c>
      <c r="K504" s="40">
        <v>516.09</v>
      </c>
      <c r="L504" s="40">
        <v>379.55</v>
      </c>
      <c r="M504" s="40">
        <v>113.94</v>
      </c>
      <c r="N504" s="40">
        <v>144.26</v>
      </c>
      <c r="O504" s="40">
        <v>258.2</v>
      </c>
      <c r="P504" s="40">
        <v>121.35</v>
      </c>
      <c r="Q504" s="6">
        <v>68.0279278092478</v>
      </c>
      <c r="R504" s="20"/>
    </row>
    <row r="505" spans="1:18" ht="14.25">
      <c r="A505" s="20" t="s">
        <v>22</v>
      </c>
      <c r="B505" s="40">
        <v>463.99</v>
      </c>
      <c r="C505" s="40">
        <v>9.83</v>
      </c>
      <c r="D505" s="40">
        <v>473.82</v>
      </c>
      <c r="E505" s="40">
        <v>80.41</v>
      </c>
      <c r="F505" s="40">
        <v>167.7</v>
      </c>
      <c r="G505" s="40">
        <v>14.2</v>
      </c>
      <c r="H505" s="40">
        <v>262.31</v>
      </c>
      <c r="I505" s="40">
        <v>0.51</v>
      </c>
      <c r="J505" s="40">
        <v>129.52</v>
      </c>
      <c r="K505" s="40">
        <v>392.34</v>
      </c>
      <c r="L505" s="40">
        <v>81.48000000000008</v>
      </c>
      <c r="M505" s="40">
        <v>41.45</v>
      </c>
      <c r="N505" s="40">
        <v>13.17</v>
      </c>
      <c r="O505" s="40">
        <v>54.62</v>
      </c>
      <c r="P505" s="40">
        <v>26.86000000000007</v>
      </c>
      <c r="Q505" s="6">
        <v>67.03485517918502</v>
      </c>
      <c r="R505" s="20"/>
    </row>
    <row r="506" spans="1:18" ht="14.25">
      <c r="A506" s="20" t="s">
        <v>23</v>
      </c>
      <c r="B506" s="40">
        <v>1041.78</v>
      </c>
      <c r="C506" s="40">
        <v>7.94</v>
      </c>
      <c r="D506" s="40">
        <v>1049.72</v>
      </c>
      <c r="E506" s="40">
        <v>159.22</v>
      </c>
      <c r="F506" s="40">
        <v>235.6</v>
      </c>
      <c r="G506" s="40">
        <v>0.88</v>
      </c>
      <c r="H506" s="40">
        <v>395.7</v>
      </c>
      <c r="I506" s="40">
        <v>27.22</v>
      </c>
      <c r="J506" s="40">
        <v>590.93</v>
      </c>
      <c r="K506" s="40">
        <v>1013.85</v>
      </c>
      <c r="L506" s="40">
        <v>35.87000000000012</v>
      </c>
      <c r="M506" s="40">
        <v>25.86</v>
      </c>
      <c r="N506" s="40">
        <v>2.55</v>
      </c>
      <c r="O506" s="40">
        <v>28.41</v>
      </c>
      <c r="P506" s="40">
        <v>7.460000000000118</v>
      </c>
      <c r="Q506" s="6">
        <v>79.20267633119572</v>
      </c>
      <c r="R506" s="20"/>
    </row>
    <row r="507" spans="1:18" ht="14.25">
      <c r="A507" s="20" t="s">
        <v>24</v>
      </c>
      <c r="B507" s="40">
        <v>49.37</v>
      </c>
      <c r="C507" s="40">
        <v>0</v>
      </c>
      <c r="D507" s="40">
        <v>49.37</v>
      </c>
      <c r="E507" s="40">
        <v>18.35</v>
      </c>
      <c r="F507" s="40">
        <v>2.97</v>
      </c>
      <c r="G507" s="40">
        <v>0</v>
      </c>
      <c r="H507" s="40">
        <v>21.32</v>
      </c>
      <c r="I507" s="40">
        <v>0</v>
      </c>
      <c r="J507" s="40">
        <v>4.38</v>
      </c>
      <c r="K507" s="40">
        <v>25.7</v>
      </c>
      <c r="L507" s="40">
        <v>23.67</v>
      </c>
      <c r="M507" s="40">
        <v>9.92</v>
      </c>
      <c r="N507" s="40">
        <v>5.58</v>
      </c>
      <c r="O507" s="40">
        <v>15.5</v>
      </c>
      <c r="P507" s="40">
        <v>8.17</v>
      </c>
      <c r="Q507" s="6">
        <v>65.4837346852556</v>
      </c>
      <c r="R507" s="20"/>
    </row>
    <row r="508" spans="1:18" ht="14.25">
      <c r="A508" s="20" t="s">
        <v>25</v>
      </c>
      <c r="B508" s="40">
        <v>232.68</v>
      </c>
      <c r="C508" s="40">
        <v>0.31</v>
      </c>
      <c r="D508" s="40">
        <v>232.99</v>
      </c>
      <c r="E508" s="40">
        <v>149.96</v>
      </c>
      <c r="F508" s="40">
        <v>12.6</v>
      </c>
      <c r="G508" s="40">
        <v>1.54</v>
      </c>
      <c r="H508" s="40">
        <v>164.1</v>
      </c>
      <c r="I508" s="40">
        <v>0</v>
      </c>
      <c r="J508" s="40">
        <v>40.06</v>
      </c>
      <c r="K508" s="40">
        <v>204.16</v>
      </c>
      <c r="L508" s="40">
        <v>28.83</v>
      </c>
      <c r="M508" s="40">
        <v>25.23</v>
      </c>
      <c r="N508" s="40">
        <v>1.57</v>
      </c>
      <c r="O508" s="40">
        <v>26.8</v>
      </c>
      <c r="P508" s="40">
        <v>2.0299999999999834</v>
      </c>
      <c r="Q508" s="6">
        <v>92.95872355185575</v>
      </c>
      <c r="R508" s="20"/>
    </row>
    <row r="509" spans="1:18" ht="14.25">
      <c r="A509" s="20" t="s">
        <v>26</v>
      </c>
      <c r="B509" s="40">
        <v>99.42</v>
      </c>
      <c r="C509" s="40">
        <v>0</v>
      </c>
      <c r="D509" s="40">
        <v>99.42</v>
      </c>
      <c r="E509" s="40">
        <v>57.51</v>
      </c>
      <c r="F509" s="40">
        <v>15.37</v>
      </c>
      <c r="G509" s="40">
        <v>1.37</v>
      </c>
      <c r="H509" s="40">
        <v>74.25</v>
      </c>
      <c r="I509" s="40">
        <v>0</v>
      </c>
      <c r="J509" s="40">
        <v>9.31</v>
      </c>
      <c r="K509" s="40">
        <v>83.56</v>
      </c>
      <c r="L509" s="40">
        <v>15.86</v>
      </c>
      <c r="M509" s="40">
        <v>7.1</v>
      </c>
      <c r="N509" s="40">
        <v>1.9</v>
      </c>
      <c r="O509" s="40">
        <v>9</v>
      </c>
      <c r="P509" s="40">
        <v>6.86</v>
      </c>
      <c r="Q509" s="6">
        <v>56.746532156368225</v>
      </c>
      <c r="R509" s="20"/>
    </row>
    <row r="510" spans="1:18" ht="14.25">
      <c r="A510" s="20" t="s">
        <v>27</v>
      </c>
      <c r="B510" s="40">
        <v>7238.7</v>
      </c>
      <c r="C510" s="40">
        <v>34.14</v>
      </c>
      <c r="D510" s="40">
        <v>7272.84</v>
      </c>
      <c r="E510" s="40">
        <v>1434.24</v>
      </c>
      <c r="F510" s="40">
        <v>214.55</v>
      </c>
      <c r="G510" s="40">
        <v>212.6</v>
      </c>
      <c r="H510" s="40">
        <v>1861.39</v>
      </c>
      <c r="I510" s="40">
        <v>16.06</v>
      </c>
      <c r="J510" s="40">
        <v>4100.8</v>
      </c>
      <c r="K510" s="40">
        <v>5978.25</v>
      </c>
      <c r="L510" s="40">
        <v>1294.59</v>
      </c>
      <c r="M510" s="40">
        <v>826.22</v>
      </c>
      <c r="N510" s="40">
        <v>61.67</v>
      </c>
      <c r="O510" s="40">
        <v>887.89</v>
      </c>
      <c r="P510" s="40">
        <v>406.7</v>
      </c>
      <c r="Q510" s="6">
        <v>68.58464842150795</v>
      </c>
      <c r="R510" s="20"/>
    </row>
    <row r="511" spans="1:18" ht="14.25">
      <c r="A511" s="20" t="s">
        <v>28</v>
      </c>
      <c r="B511" s="40">
        <v>1414.68</v>
      </c>
      <c r="C511" s="40">
        <v>681.56</v>
      </c>
      <c r="D511" s="40">
        <v>2096.24</v>
      </c>
      <c r="E511" s="40">
        <v>97.36</v>
      </c>
      <c r="F511" s="40">
        <v>72.11</v>
      </c>
      <c r="G511" s="40">
        <v>4.55</v>
      </c>
      <c r="H511" s="40">
        <v>174.02</v>
      </c>
      <c r="I511" s="40">
        <v>0</v>
      </c>
      <c r="J511" s="40">
        <v>61.66</v>
      </c>
      <c r="K511" s="40">
        <v>235.68</v>
      </c>
      <c r="L511" s="40">
        <v>1860.56</v>
      </c>
      <c r="M511" s="40">
        <v>307.43</v>
      </c>
      <c r="N511" s="40">
        <v>1512.08</v>
      </c>
      <c r="O511" s="40">
        <v>1819.51</v>
      </c>
      <c r="P511" s="40">
        <v>41.04999999999973</v>
      </c>
      <c r="Q511" s="6">
        <v>97.79367502257386</v>
      </c>
      <c r="R511" s="20"/>
    </row>
    <row r="512" spans="1:18" ht="14.25">
      <c r="A512" s="20" t="s">
        <v>29</v>
      </c>
      <c r="B512" s="40">
        <v>187.41</v>
      </c>
      <c r="C512" s="40">
        <v>0</v>
      </c>
      <c r="D512" s="40">
        <v>187.41</v>
      </c>
      <c r="E512" s="40">
        <v>80.82</v>
      </c>
      <c r="F512" s="40">
        <v>7.8</v>
      </c>
      <c r="G512" s="40">
        <v>0</v>
      </c>
      <c r="H512" s="40">
        <v>88.62</v>
      </c>
      <c r="I512" s="40">
        <v>0</v>
      </c>
      <c r="J512" s="40">
        <v>65.07</v>
      </c>
      <c r="K512" s="40">
        <v>153.69</v>
      </c>
      <c r="L512" s="40">
        <v>33.72</v>
      </c>
      <c r="M512" s="40">
        <v>14.96</v>
      </c>
      <c r="N512" s="40">
        <v>1.81</v>
      </c>
      <c r="O512" s="40">
        <v>16.77</v>
      </c>
      <c r="P512" s="40">
        <v>16.95</v>
      </c>
      <c r="Q512" s="6">
        <v>49.73309608540925</v>
      </c>
      <c r="R512" s="20"/>
    </row>
    <row r="513" spans="1:18" ht="14.25">
      <c r="A513" s="20" t="s">
        <v>30</v>
      </c>
      <c r="B513" s="40">
        <v>375.55</v>
      </c>
      <c r="C513" s="40">
        <v>4.67</v>
      </c>
      <c r="D513" s="40">
        <v>380.22</v>
      </c>
      <c r="E513" s="40">
        <v>258.73</v>
      </c>
      <c r="F513" s="40">
        <v>20.93</v>
      </c>
      <c r="G513" s="40">
        <v>0</v>
      </c>
      <c r="H513" s="40">
        <v>279.66</v>
      </c>
      <c r="I513" s="40">
        <v>4.5</v>
      </c>
      <c r="J513" s="40">
        <v>60.61</v>
      </c>
      <c r="K513" s="40">
        <v>344.77</v>
      </c>
      <c r="L513" s="40">
        <v>35.45</v>
      </c>
      <c r="M513" s="40">
        <v>30.06</v>
      </c>
      <c r="N513" s="40">
        <v>5.38</v>
      </c>
      <c r="O513" s="40">
        <v>35.44</v>
      </c>
      <c r="P513" s="40">
        <v>0.009999999999990905</v>
      </c>
      <c r="Q513" s="6">
        <v>99.97179125528916</v>
      </c>
      <c r="R513" s="20"/>
    </row>
    <row r="514" spans="1:18" ht="14.25">
      <c r="A514" s="20" t="s">
        <v>31</v>
      </c>
      <c r="B514" s="40">
        <v>636.65</v>
      </c>
      <c r="C514" s="40">
        <v>2.58</v>
      </c>
      <c r="D514" s="40">
        <v>639.23</v>
      </c>
      <c r="E514" s="40">
        <v>9.58</v>
      </c>
      <c r="F514" s="40">
        <v>171.56</v>
      </c>
      <c r="G514" s="40">
        <v>126.81</v>
      </c>
      <c r="H514" s="40">
        <v>307.95</v>
      </c>
      <c r="I514" s="40">
        <v>0</v>
      </c>
      <c r="J514" s="40">
        <v>114.65</v>
      </c>
      <c r="K514" s="40">
        <v>422.6</v>
      </c>
      <c r="L514" s="40">
        <v>216.63</v>
      </c>
      <c r="M514" s="40">
        <v>189.14</v>
      </c>
      <c r="N514" s="40">
        <v>2.66</v>
      </c>
      <c r="O514" s="40">
        <v>191.8</v>
      </c>
      <c r="P514" s="40">
        <v>24.83</v>
      </c>
      <c r="Q514" s="6">
        <v>88.5380602871255</v>
      </c>
      <c r="R514" s="20"/>
    </row>
    <row r="515" spans="1:18" ht="14.25">
      <c r="A515" s="20" t="s">
        <v>32</v>
      </c>
      <c r="B515" s="40">
        <v>66.61</v>
      </c>
      <c r="C515" s="40">
        <v>0.05</v>
      </c>
      <c r="D515" s="40">
        <v>66.66</v>
      </c>
      <c r="E515" s="40">
        <v>34.79</v>
      </c>
      <c r="F515" s="40">
        <v>13.46</v>
      </c>
      <c r="G515" s="40">
        <v>0</v>
      </c>
      <c r="H515" s="40">
        <v>48.25</v>
      </c>
      <c r="I515" s="40">
        <v>0</v>
      </c>
      <c r="J515" s="40">
        <v>9.33</v>
      </c>
      <c r="K515" s="40">
        <v>57.58</v>
      </c>
      <c r="L515" s="40">
        <v>9.08</v>
      </c>
      <c r="M515" s="40">
        <v>7.66</v>
      </c>
      <c r="N515" s="40">
        <v>1.1</v>
      </c>
      <c r="O515" s="40">
        <v>8.76</v>
      </c>
      <c r="P515" s="40">
        <v>0.3199999999999985</v>
      </c>
      <c r="Q515" s="6">
        <v>96.47577092511015</v>
      </c>
      <c r="R515" s="20"/>
    </row>
    <row r="516" spans="1:18" ht="14.25">
      <c r="A516" s="20" t="s">
        <v>33</v>
      </c>
      <c r="B516" s="40">
        <v>552.64</v>
      </c>
      <c r="C516" s="40">
        <v>38.72</v>
      </c>
      <c r="D516" s="40">
        <v>591.36</v>
      </c>
      <c r="E516" s="40">
        <v>178.33</v>
      </c>
      <c r="F516" s="40">
        <v>116.76</v>
      </c>
      <c r="G516" s="40">
        <v>7.36</v>
      </c>
      <c r="H516" s="40">
        <v>302.45</v>
      </c>
      <c r="I516" s="40">
        <v>3.91</v>
      </c>
      <c r="J516" s="40">
        <v>131.78</v>
      </c>
      <c r="K516" s="40">
        <v>438.14</v>
      </c>
      <c r="L516" s="40">
        <v>153.22</v>
      </c>
      <c r="M516" s="40">
        <v>78.89</v>
      </c>
      <c r="N516" s="40">
        <v>5.94</v>
      </c>
      <c r="O516" s="40">
        <v>84.83</v>
      </c>
      <c r="P516" s="40">
        <v>68.38999999999992</v>
      </c>
      <c r="Q516" s="6">
        <v>55.36483487795329</v>
      </c>
      <c r="R516" s="20"/>
    </row>
    <row r="517" spans="1:18" ht="14.25">
      <c r="A517" s="20" t="s">
        <v>34</v>
      </c>
      <c r="B517" s="40">
        <v>193.41</v>
      </c>
      <c r="C517" s="40">
        <v>23.76</v>
      </c>
      <c r="D517" s="40">
        <v>217.17</v>
      </c>
      <c r="E517" s="40">
        <v>19.23</v>
      </c>
      <c r="F517" s="40">
        <v>78.58</v>
      </c>
      <c r="G517" s="40">
        <v>25.57</v>
      </c>
      <c r="H517" s="40">
        <v>123.38</v>
      </c>
      <c r="I517" s="40">
        <v>0</v>
      </c>
      <c r="J517" s="40">
        <v>38.29</v>
      </c>
      <c r="K517" s="40">
        <v>161.67</v>
      </c>
      <c r="L517" s="40">
        <v>55.5</v>
      </c>
      <c r="M517" s="40">
        <v>10.11</v>
      </c>
      <c r="N517" s="40">
        <v>1.39</v>
      </c>
      <c r="O517" s="40">
        <v>11.5</v>
      </c>
      <c r="P517" s="40">
        <v>44</v>
      </c>
      <c r="Q517" s="6">
        <v>20.72072072072073</v>
      </c>
      <c r="R517" s="20"/>
    </row>
    <row r="518" spans="1:18" ht="15">
      <c r="A518" s="21" t="s">
        <v>35</v>
      </c>
      <c r="B518" s="22">
        <v>13445.45</v>
      </c>
      <c r="C518" s="22">
        <v>806.64</v>
      </c>
      <c r="D518" s="22">
        <v>14252.09</v>
      </c>
      <c r="E518" s="22">
        <v>2649.82</v>
      </c>
      <c r="F518" s="22">
        <v>1342.65</v>
      </c>
      <c r="G518" s="22">
        <v>394.88</v>
      </c>
      <c r="H518" s="22">
        <v>4387.35</v>
      </c>
      <c r="I518" s="41">
        <v>52.8</v>
      </c>
      <c r="J518" s="41">
        <v>5587.93</v>
      </c>
      <c r="K518" s="41">
        <v>10028.08</v>
      </c>
      <c r="L518" s="41">
        <v>4224.01</v>
      </c>
      <c r="M518" s="22">
        <v>1687.97</v>
      </c>
      <c r="N518" s="22">
        <v>1761.06</v>
      </c>
      <c r="O518" s="41">
        <v>3449.03</v>
      </c>
      <c r="P518" s="41">
        <v>774.98</v>
      </c>
      <c r="Q518" s="22">
        <v>81.65297904124282</v>
      </c>
      <c r="R518" s="20"/>
    </row>
    <row r="519" spans="1:18" ht="15">
      <c r="A519" s="53"/>
      <c r="B519" s="46"/>
      <c r="C519" s="46"/>
      <c r="D519" s="46"/>
      <c r="E519" s="46"/>
      <c r="F519" s="46"/>
      <c r="G519" s="46"/>
      <c r="H519" s="46"/>
      <c r="I519" s="47"/>
      <c r="J519" s="47"/>
      <c r="K519" s="47"/>
      <c r="L519" s="47"/>
      <c r="M519" s="46"/>
      <c r="N519" s="46"/>
      <c r="O519" s="47"/>
      <c r="P519" s="47"/>
      <c r="Q519" s="46"/>
      <c r="R519" s="54"/>
    </row>
    <row r="520" spans="9:15" ht="12.75">
      <c r="I520" s="33"/>
      <c r="J520" s="33"/>
      <c r="L520" s="33"/>
      <c r="O520" s="33"/>
    </row>
    <row r="521" spans="1:17" ht="18">
      <c r="A521" s="157" t="s">
        <v>84</v>
      </c>
      <c r="B521" s="157"/>
      <c r="C521" s="157"/>
      <c r="D521" s="157"/>
      <c r="E521" s="157"/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57"/>
    </row>
    <row r="522" spans="1:17" ht="18">
      <c r="A522" s="157" t="s">
        <v>109</v>
      </c>
      <c r="B522" s="157"/>
      <c r="C522" s="157"/>
      <c r="D522" s="157"/>
      <c r="E522" s="157"/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  <c r="Q522" s="157"/>
    </row>
    <row r="523" spans="1:17" ht="15.75">
      <c r="A523" s="158" t="s">
        <v>2</v>
      </c>
      <c r="B523" s="158"/>
      <c r="C523" s="158"/>
      <c r="D523" s="158"/>
      <c r="E523" s="158"/>
      <c r="F523" s="15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</row>
    <row r="524" spans="1:18" ht="12.75">
      <c r="A524" s="147" t="s">
        <v>3</v>
      </c>
      <c r="B524" s="153" t="s">
        <v>4</v>
      </c>
      <c r="C524" s="153" t="s">
        <v>5</v>
      </c>
      <c r="D524" s="153" t="s">
        <v>6</v>
      </c>
      <c r="E524" s="152" t="s">
        <v>7</v>
      </c>
      <c r="F524" s="152"/>
      <c r="G524" s="152"/>
      <c r="H524" s="153" t="s">
        <v>8</v>
      </c>
      <c r="I524" s="146" t="s">
        <v>9</v>
      </c>
      <c r="J524" s="146" t="s">
        <v>38</v>
      </c>
      <c r="K524" s="150" t="s">
        <v>11</v>
      </c>
      <c r="L524" s="146" t="s">
        <v>39</v>
      </c>
      <c r="M524" s="147" t="s">
        <v>13</v>
      </c>
      <c r="N524" s="147" t="s">
        <v>14</v>
      </c>
      <c r="O524" s="146" t="s">
        <v>15</v>
      </c>
      <c r="P524" s="147" t="s">
        <v>16</v>
      </c>
      <c r="Q524" s="147" t="s">
        <v>17</v>
      </c>
      <c r="R524" s="148" t="s">
        <v>82</v>
      </c>
    </row>
    <row r="525" spans="1:18" ht="67.5" customHeight="1">
      <c r="A525" s="147"/>
      <c r="B525" s="155"/>
      <c r="C525" s="156"/>
      <c r="D525" s="154"/>
      <c r="E525" s="19" t="s">
        <v>18</v>
      </c>
      <c r="F525" s="19" t="s">
        <v>19</v>
      </c>
      <c r="G525" s="19" t="s">
        <v>20</v>
      </c>
      <c r="H525" s="154"/>
      <c r="I525" s="146"/>
      <c r="J525" s="146"/>
      <c r="K525" s="151"/>
      <c r="L525" s="146"/>
      <c r="M525" s="147"/>
      <c r="N525" s="147"/>
      <c r="O525" s="146"/>
      <c r="P525" s="147"/>
      <c r="Q525" s="147"/>
      <c r="R525" s="149"/>
    </row>
    <row r="526" spans="1:18" ht="14.25">
      <c r="A526" s="20" t="s">
        <v>21</v>
      </c>
      <c r="B526" s="40">
        <v>1236.26</v>
      </c>
      <c r="C526" s="40">
        <v>0</v>
      </c>
      <c r="D526" s="40">
        <v>1236.26</v>
      </c>
      <c r="E526" s="40">
        <v>0</v>
      </c>
      <c r="F526" s="40">
        <v>493.96</v>
      </c>
      <c r="G526" s="40">
        <v>0</v>
      </c>
      <c r="H526" s="40">
        <v>493.96</v>
      </c>
      <c r="I526" s="40">
        <v>0</v>
      </c>
      <c r="J526" s="40">
        <v>0</v>
      </c>
      <c r="K526" s="40">
        <v>493.96</v>
      </c>
      <c r="L526" s="40">
        <v>742.3</v>
      </c>
      <c r="M526" s="40">
        <v>189.02</v>
      </c>
      <c r="N526" s="40">
        <v>92.07</v>
      </c>
      <c r="O526" s="40">
        <v>281.09</v>
      </c>
      <c r="P526" s="40">
        <v>461.21</v>
      </c>
      <c r="Q526" s="6">
        <v>37.867439040819086</v>
      </c>
      <c r="R526" s="20"/>
    </row>
    <row r="527" spans="1:18" ht="14.25">
      <c r="A527" s="20" t="s">
        <v>22</v>
      </c>
      <c r="B527" s="40">
        <v>2676.8</v>
      </c>
      <c r="C527" s="40">
        <v>0</v>
      </c>
      <c r="D527" s="40">
        <v>2676.8</v>
      </c>
      <c r="E527" s="40">
        <v>76.54</v>
      </c>
      <c r="F527" s="40">
        <v>176.24</v>
      </c>
      <c r="G527" s="40">
        <v>1482.24</v>
      </c>
      <c r="H527" s="40">
        <v>1735.02</v>
      </c>
      <c r="I527" s="40">
        <v>0</v>
      </c>
      <c r="J527" s="40">
        <v>547.45</v>
      </c>
      <c r="K527" s="40">
        <v>2282.47</v>
      </c>
      <c r="L527" s="40">
        <v>394.33</v>
      </c>
      <c r="M527" s="40">
        <v>319.34</v>
      </c>
      <c r="N527" s="40">
        <v>69.3</v>
      </c>
      <c r="O527" s="40">
        <v>388.64</v>
      </c>
      <c r="P527" s="40">
        <v>5.689999999999941</v>
      </c>
      <c r="Q527" s="6">
        <v>98.55704612887685</v>
      </c>
      <c r="R527" s="20"/>
    </row>
    <row r="528" spans="1:18" ht="14.25">
      <c r="A528" s="20" t="s">
        <v>23</v>
      </c>
      <c r="B528" s="40">
        <v>323.83</v>
      </c>
      <c r="C528" s="40">
        <v>112.63</v>
      </c>
      <c r="D528" s="40">
        <v>436.46</v>
      </c>
      <c r="E528" s="40">
        <v>0</v>
      </c>
      <c r="F528" s="40">
        <v>0</v>
      </c>
      <c r="G528" s="40">
        <v>56.73</v>
      </c>
      <c r="H528" s="40">
        <v>56.73</v>
      </c>
      <c r="I528" s="40">
        <v>0</v>
      </c>
      <c r="J528" s="40">
        <v>0</v>
      </c>
      <c r="K528" s="40">
        <v>56.73</v>
      </c>
      <c r="L528" s="40">
        <v>379.73</v>
      </c>
      <c r="M528" s="40">
        <v>250.45</v>
      </c>
      <c r="N528" s="40">
        <v>129.28</v>
      </c>
      <c r="O528" s="40">
        <v>379.73</v>
      </c>
      <c r="P528" s="40">
        <v>0</v>
      </c>
      <c r="Q528" s="6">
        <v>100</v>
      </c>
      <c r="R528" s="20"/>
    </row>
    <row r="529" spans="1:18" ht="14.25">
      <c r="A529" s="20" t="s">
        <v>24</v>
      </c>
      <c r="B529" s="40">
        <v>621.94</v>
      </c>
      <c r="C529" s="40">
        <v>0</v>
      </c>
      <c r="D529" s="40">
        <v>621.94</v>
      </c>
      <c r="E529" s="40">
        <v>33.62</v>
      </c>
      <c r="F529" s="40">
        <v>0</v>
      </c>
      <c r="G529" s="40">
        <v>169.56</v>
      </c>
      <c r="H529" s="40">
        <v>203.18</v>
      </c>
      <c r="I529" s="40">
        <v>0</v>
      </c>
      <c r="J529" s="40">
        <v>178.63</v>
      </c>
      <c r="K529" s="40">
        <v>381.81</v>
      </c>
      <c r="L529" s="40">
        <v>240.13</v>
      </c>
      <c r="M529" s="40">
        <v>170.94</v>
      </c>
      <c r="N529" s="40">
        <v>62.02</v>
      </c>
      <c r="O529" s="40">
        <v>232.96</v>
      </c>
      <c r="P529" s="40">
        <v>7.170000000000044</v>
      </c>
      <c r="Q529" s="6">
        <v>97.01411735310039</v>
      </c>
      <c r="R529" s="20"/>
    </row>
    <row r="530" spans="1:18" ht="14.25">
      <c r="A530" s="20" t="s">
        <v>25</v>
      </c>
      <c r="B530" s="40">
        <v>2338.25</v>
      </c>
      <c r="C530" s="40">
        <v>108.82</v>
      </c>
      <c r="D530" s="40">
        <v>2447.07</v>
      </c>
      <c r="E530" s="40">
        <v>109.27</v>
      </c>
      <c r="F530" s="40">
        <v>636.6</v>
      </c>
      <c r="G530" s="40">
        <v>865.6</v>
      </c>
      <c r="H530" s="40">
        <v>1611.47</v>
      </c>
      <c r="I530" s="40">
        <v>0</v>
      </c>
      <c r="J530" s="40">
        <v>0</v>
      </c>
      <c r="K530" s="40">
        <v>1611.47</v>
      </c>
      <c r="L530" s="40">
        <v>835.6</v>
      </c>
      <c r="M530" s="40">
        <v>614.88</v>
      </c>
      <c r="N530" s="40">
        <v>80.94</v>
      </c>
      <c r="O530" s="40">
        <v>695.82</v>
      </c>
      <c r="P530" s="40">
        <v>139.78</v>
      </c>
      <c r="Q530" s="6">
        <v>83.27190043082813</v>
      </c>
      <c r="R530" s="20"/>
    </row>
    <row r="531" spans="1:18" ht="14.25">
      <c r="A531" s="20" t="s">
        <v>26</v>
      </c>
      <c r="B531" s="40">
        <v>1808.31</v>
      </c>
      <c r="C531" s="40">
        <v>0</v>
      </c>
      <c r="D531" s="40">
        <v>1808.31</v>
      </c>
      <c r="E531" s="40">
        <v>313.7</v>
      </c>
      <c r="F531" s="40">
        <v>159.62</v>
      </c>
      <c r="G531" s="40">
        <v>746.7</v>
      </c>
      <c r="H531" s="40">
        <v>1220.02</v>
      </c>
      <c r="I531" s="40">
        <v>0</v>
      </c>
      <c r="J531" s="40">
        <v>0.89</v>
      </c>
      <c r="K531" s="40">
        <v>1220.91</v>
      </c>
      <c r="L531" s="40">
        <v>587.4</v>
      </c>
      <c r="M531" s="40">
        <v>153.58</v>
      </c>
      <c r="N531" s="40">
        <v>73.01</v>
      </c>
      <c r="O531" s="40">
        <v>226.59</v>
      </c>
      <c r="P531" s="40">
        <v>360.81</v>
      </c>
      <c r="Q531" s="6">
        <v>38.575076608784485</v>
      </c>
      <c r="R531" s="20"/>
    </row>
    <row r="532" spans="1:18" ht="14.25">
      <c r="A532" s="20" t="s">
        <v>27</v>
      </c>
      <c r="B532" s="40">
        <v>7789.42</v>
      </c>
      <c r="C532" s="40">
        <v>0</v>
      </c>
      <c r="D532" s="40">
        <v>7789.42</v>
      </c>
      <c r="E532" s="40">
        <v>555.8</v>
      </c>
      <c r="F532" s="40">
        <v>343.4</v>
      </c>
      <c r="G532" s="40">
        <v>4624.62</v>
      </c>
      <c r="H532" s="40">
        <v>5523.82</v>
      </c>
      <c r="I532" s="40">
        <v>0</v>
      </c>
      <c r="J532" s="40">
        <v>797.91</v>
      </c>
      <c r="K532" s="40">
        <v>6321.73</v>
      </c>
      <c r="L532" s="40">
        <v>1467.69</v>
      </c>
      <c r="M532" s="40">
        <v>349.38</v>
      </c>
      <c r="N532" s="40">
        <v>78.84</v>
      </c>
      <c r="O532" s="40">
        <v>428.22</v>
      </c>
      <c r="P532" s="40">
        <v>1039.47</v>
      </c>
      <c r="Q532" s="6">
        <v>29.176460969278246</v>
      </c>
      <c r="R532" s="20"/>
    </row>
    <row r="533" spans="1:18" ht="14.25">
      <c r="A533" s="20" t="s">
        <v>28</v>
      </c>
      <c r="B533" s="40">
        <v>1155.71</v>
      </c>
      <c r="C533" s="40">
        <v>0</v>
      </c>
      <c r="D533" s="40">
        <v>1155.71</v>
      </c>
      <c r="E533" s="40">
        <v>42.89</v>
      </c>
      <c r="F533" s="40">
        <v>35.45</v>
      </c>
      <c r="G533" s="40">
        <v>709.16</v>
      </c>
      <c r="H533" s="40">
        <v>787.5</v>
      </c>
      <c r="I533" s="40">
        <v>0</v>
      </c>
      <c r="J533" s="40">
        <v>47.45</v>
      </c>
      <c r="K533" s="40">
        <v>834.95</v>
      </c>
      <c r="L533" s="40">
        <v>320.76</v>
      </c>
      <c r="M533" s="40">
        <v>282.63</v>
      </c>
      <c r="N533" s="40">
        <v>26.79</v>
      </c>
      <c r="O533" s="40">
        <v>309.42</v>
      </c>
      <c r="P533" s="40">
        <v>11.34</v>
      </c>
      <c r="Q533" s="6">
        <v>96.46464646464648</v>
      </c>
      <c r="R533" s="20"/>
    </row>
    <row r="534" spans="1:18" ht="14.25">
      <c r="A534" s="20" t="s">
        <v>29</v>
      </c>
      <c r="B534" s="40">
        <v>1222.53</v>
      </c>
      <c r="C534" s="40">
        <v>0</v>
      </c>
      <c r="D534" s="40">
        <v>1222.53</v>
      </c>
      <c r="E534" s="40">
        <v>311.63</v>
      </c>
      <c r="F534" s="40">
        <v>0</v>
      </c>
      <c r="G534" s="40">
        <v>663.86</v>
      </c>
      <c r="H534" s="40">
        <v>975.49</v>
      </c>
      <c r="I534" s="40">
        <v>0</v>
      </c>
      <c r="J534" s="40">
        <v>64.9</v>
      </c>
      <c r="K534" s="40">
        <v>1040.39</v>
      </c>
      <c r="L534" s="40">
        <v>182.14</v>
      </c>
      <c r="M534" s="40">
        <v>159.92</v>
      </c>
      <c r="N534" s="40">
        <v>10.31</v>
      </c>
      <c r="O534" s="40">
        <v>170.23</v>
      </c>
      <c r="P534" s="40">
        <v>11.909999999999883</v>
      </c>
      <c r="Q534" s="6">
        <v>93.46107389919848</v>
      </c>
      <c r="R534" s="20"/>
    </row>
    <row r="535" spans="1:18" ht="14.25">
      <c r="A535" s="20" t="s">
        <v>30</v>
      </c>
      <c r="B535" s="40">
        <v>1327.42</v>
      </c>
      <c r="C535" s="40">
        <v>0</v>
      </c>
      <c r="D535" s="40">
        <v>1327.42</v>
      </c>
      <c r="E535" s="40">
        <v>223.35</v>
      </c>
      <c r="F535" s="40">
        <v>0</v>
      </c>
      <c r="G535" s="40">
        <v>1022.14</v>
      </c>
      <c r="H535" s="40">
        <v>1245.49</v>
      </c>
      <c r="I535" s="40">
        <v>0</v>
      </c>
      <c r="J535" s="40">
        <v>0</v>
      </c>
      <c r="K535" s="40">
        <v>1245.49</v>
      </c>
      <c r="L535" s="40">
        <v>81.93000000000006</v>
      </c>
      <c r="M535" s="40">
        <v>60.21</v>
      </c>
      <c r="N535" s="40">
        <v>14.55</v>
      </c>
      <c r="O535" s="40">
        <v>74.76</v>
      </c>
      <c r="P535" s="40">
        <v>7.1700000000000585</v>
      </c>
      <c r="Q535" s="6">
        <v>91.24862687660192</v>
      </c>
      <c r="R535" s="20"/>
    </row>
    <row r="536" spans="1:18" ht="14.25">
      <c r="A536" s="20" t="s">
        <v>31</v>
      </c>
      <c r="B536" s="40">
        <v>1324.88</v>
      </c>
      <c r="C536" s="40">
        <v>0</v>
      </c>
      <c r="D536" s="40">
        <v>1324.88</v>
      </c>
      <c r="E536" s="40">
        <v>66.45</v>
      </c>
      <c r="F536" s="40">
        <v>998.51</v>
      </c>
      <c r="G536" s="40">
        <v>107.26</v>
      </c>
      <c r="H536" s="40">
        <v>1172.22</v>
      </c>
      <c r="I536" s="40">
        <v>0</v>
      </c>
      <c r="J536" s="40">
        <v>0</v>
      </c>
      <c r="K536" s="40">
        <v>1172.22</v>
      </c>
      <c r="L536" s="40">
        <v>152.66</v>
      </c>
      <c r="M536" s="40">
        <v>99.98</v>
      </c>
      <c r="N536" s="40">
        <v>49.1</v>
      </c>
      <c r="O536" s="40">
        <v>149.08</v>
      </c>
      <c r="P536" s="40">
        <v>3.5800000000000693</v>
      </c>
      <c r="Q536" s="6">
        <v>97.65491942879598</v>
      </c>
      <c r="R536" s="20"/>
    </row>
    <row r="537" spans="1:18" ht="14.25">
      <c r="A537" s="20" t="s">
        <v>32</v>
      </c>
      <c r="B537" s="40">
        <v>1191.32</v>
      </c>
      <c r="C537" s="40">
        <v>0</v>
      </c>
      <c r="D537" s="40">
        <v>1191.32</v>
      </c>
      <c r="E537" s="40">
        <v>130.07</v>
      </c>
      <c r="F537" s="40">
        <v>0</v>
      </c>
      <c r="G537" s="40">
        <v>860.96</v>
      </c>
      <c r="H537" s="40">
        <v>991.03</v>
      </c>
      <c r="I537" s="40">
        <v>0</v>
      </c>
      <c r="J537" s="40">
        <v>0</v>
      </c>
      <c r="K537" s="40">
        <v>991.03</v>
      </c>
      <c r="L537" s="40">
        <v>200.29</v>
      </c>
      <c r="M537" s="40">
        <v>175.72</v>
      </c>
      <c r="N537" s="40">
        <v>20.86</v>
      </c>
      <c r="O537" s="40">
        <v>196.58</v>
      </c>
      <c r="P537" s="40">
        <v>3.7099999999999795</v>
      </c>
      <c r="Q537" s="6">
        <v>98.14768585550952</v>
      </c>
      <c r="R537" s="20"/>
    </row>
    <row r="538" spans="1:18" ht="14.25">
      <c r="A538" s="20" t="s">
        <v>33</v>
      </c>
      <c r="B538" s="40">
        <v>860.21</v>
      </c>
      <c r="C538" s="40">
        <v>0</v>
      </c>
      <c r="D538" s="40">
        <v>860.21</v>
      </c>
      <c r="E538" s="40">
        <v>72.63</v>
      </c>
      <c r="F538" s="40">
        <v>0</v>
      </c>
      <c r="G538" s="40">
        <v>0</v>
      </c>
      <c r="H538" s="40">
        <v>72.63</v>
      </c>
      <c r="I538" s="40">
        <v>449.55</v>
      </c>
      <c r="J538" s="40">
        <v>0</v>
      </c>
      <c r="K538" s="40">
        <v>522.18</v>
      </c>
      <c r="L538" s="40">
        <v>338.03</v>
      </c>
      <c r="M538" s="40">
        <v>240.53</v>
      </c>
      <c r="N538" s="40">
        <v>62.53</v>
      </c>
      <c r="O538" s="40">
        <v>303.06</v>
      </c>
      <c r="P538" s="40">
        <v>34.97</v>
      </c>
      <c r="Q538" s="6">
        <v>89.65476437002634</v>
      </c>
      <c r="R538" s="20"/>
    </row>
    <row r="539" spans="1:18" ht="14.25">
      <c r="A539" s="20" t="s">
        <v>34</v>
      </c>
      <c r="B539" s="40">
        <v>995.22</v>
      </c>
      <c r="C539" s="40">
        <v>0</v>
      </c>
      <c r="D539" s="40">
        <v>995.22</v>
      </c>
      <c r="E539" s="40">
        <v>93.86</v>
      </c>
      <c r="F539" s="40">
        <v>0</v>
      </c>
      <c r="G539" s="40">
        <v>438.86</v>
      </c>
      <c r="H539" s="40">
        <v>532.72</v>
      </c>
      <c r="I539" s="40">
        <v>0</v>
      </c>
      <c r="J539" s="40">
        <v>110.91</v>
      </c>
      <c r="K539" s="40">
        <v>643.63</v>
      </c>
      <c r="L539" s="40">
        <v>351.59</v>
      </c>
      <c r="M539" s="40">
        <v>55.22</v>
      </c>
      <c r="N539" s="40">
        <v>42.21</v>
      </c>
      <c r="O539" s="40">
        <v>97.43</v>
      </c>
      <c r="P539" s="40">
        <v>254.16</v>
      </c>
      <c r="Q539" s="6">
        <v>27.711254586307916</v>
      </c>
      <c r="R539" s="20"/>
    </row>
    <row r="540" spans="1:18" ht="15">
      <c r="A540" s="21" t="s">
        <v>35</v>
      </c>
      <c r="B540" s="22">
        <v>24872.1</v>
      </c>
      <c r="C540" s="22">
        <v>221.45</v>
      </c>
      <c r="D540" s="22">
        <v>25093.55</v>
      </c>
      <c r="E540" s="22">
        <v>2029.81</v>
      </c>
      <c r="F540" s="22">
        <v>2843.78</v>
      </c>
      <c r="G540" s="22">
        <v>11747.69</v>
      </c>
      <c r="H540" s="22">
        <v>16621.28</v>
      </c>
      <c r="I540" s="41">
        <v>449.55</v>
      </c>
      <c r="J540" s="41">
        <v>1748.14</v>
      </c>
      <c r="K540" s="41">
        <v>18818.97</v>
      </c>
      <c r="L540" s="41">
        <v>6274.58</v>
      </c>
      <c r="M540" s="22">
        <v>3121.8</v>
      </c>
      <c r="N540" s="22">
        <v>811.81</v>
      </c>
      <c r="O540" s="41">
        <v>3933.61</v>
      </c>
      <c r="P540" s="41">
        <v>2340.97</v>
      </c>
      <c r="Q540" s="22">
        <v>62.69120801711029</v>
      </c>
      <c r="R540" s="20"/>
    </row>
    <row r="541" spans="9:15" ht="12.75">
      <c r="I541" s="33"/>
      <c r="J541" s="33"/>
      <c r="L541" s="33"/>
      <c r="O541" s="33"/>
    </row>
    <row r="542" spans="1:17" ht="18">
      <c r="A542" s="157" t="s">
        <v>84</v>
      </c>
      <c r="B542" s="157"/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</row>
    <row r="543" spans="1:17" ht="18">
      <c r="A543" s="157" t="s">
        <v>110</v>
      </c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</row>
    <row r="544" spans="1:17" ht="15.75">
      <c r="A544" s="158" t="s">
        <v>2</v>
      </c>
      <c r="B544" s="158"/>
      <c r="C544" s="158"/>
      <c r="D544" s="158"/>
      <c r="E544" s="158"/>
      <c r="F544" s="15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</row>
    <row r="545" spans="1:18" ht="12.75">
      <c r="A545" s="147" t="s">
        <v>3</v>
      </c>
      <c r="B545" s="153" t="s">
        <v>4</v>
      </c>
      <c r="C545" s="153" t="s">
        <v>5</v>
      </c>
      <c r="D545" s="153" t="s">
        <v>6</v>
      </c>
      <c r="E545" s="152" t="s">
        <v>7</v>
      </c>
      <c r="F545" s="152"/>
      <c r="G545" s="152"/>
      <c r="H545" s="153" t="s">
        <v>8</v>
      </c>
      <c r="I545" s="146" t="s">
        <v>9</v>
      </c>
      <c r="J545" s="146" t="s">
        <v>38</v>
      </c>
      <c r="K545" s="150" t="s">
        <v>11</v>
      </c>
      <c r="L545" s="146" t="s">
        <v>39</v>
      </c>
      <c r="M545" s="147" t="s">
        <v>13</v>
      </c>
      <c r="N545" s="147" t="s">
        <v>14</v>
      </c>
      <c r="O545" s="146" t="s">
        <v>15</v>
      </c>
      <c r="P545" s="147" t="s">
        <v>16</v>
      </c>
      <c r="Q545" s="147" t="s">
        <v>17</v>
      </c>
      <c r="R545" s="148" t="s">
        <v>82</v>
      </c>
    </row>
    <row r="546" spans="1:18" ht="67.5" customHeight="1">
      <c r="A546" s="147"/>
      <c r="B546" s="155"/>
      <c r="C546" s="156"/>
      <c r="D546" s="154"/>
      <c r="E546" s="19" t="s">
        <v>18</v>
      </c>
      <c r="F546" s="19" t="s">
        <v>19</v>
      </c>
      <c r="G546" s="19" t="s">
        <v>20</v>
      </c>
      <c r="H546" s="154"/>
      <c r="I546" s="146"/>
      <c r="J546" s="146"/>
      <c r="K546" s="151"/>
      <c r="L546" s="146"/>
      <c r="M546" s="147"/>
      <c r="N546" s="147"/>
      <c r="O546" s="146"/>
      <c r="P546" s="147"/>
      <c r="Q546" s="147"/>
      <c r="R546" s="149"/>
    </row>
    <row r="547" spans="1:18" ht="14.25">
      <c r="A547" s="20" t="s">
        <v>21</v>
      </c>
      <c r="B547" s="40">
        <v>2045.35</v>
      </c>
      <c r="C547" s="40">
        <v>188.83</v>
      </c>
      <c r="D547" s="40">
        <v>2234.18</v>
      </c>
      <c r="E547" s="40">
        <v>77.32</v>
      </c>
      <c r="F547" s="40">
        <v>46.23</v>
      </c>
      <c r="G547" s="40">
        <v>0</v>
      </c>
      <c r="H547" s="40">
        <v>123.55</v>
      </c>
      <c r="I547" s="40">
        <v>3.9</v>
      </c>
      <c r="J547" s="40">
        <v>39.83</v>
      </c>
      <c r="K547" s="40">
        <v>167.28</v>
      </c>
      <c r="L547" s="40">
        <v>2066.9</v>
      </c>
      <c r="M547" s="40">
        <v>795.8</v>
      </c>
      <c r="N547" s="40">
        <v>174.37</v>
      </c>
      <c r="O547" s="40">
        <v>970.17</v>
      </c>
      <c r="P547" s="40">
        <v>1096.73</v>
      </c>
      <c r="Q547" s="6">
        <v>46.93841017949587</v>
      </c>
      <c r="R547" s="20"/>
    </row>
    <row r="548" spans="1:18" ht="14.25">
      <c r="A548" s="20" t="s">
        <v>22</v>
      </c>
      <c r="B548" s="40">
        <v>580.01</v>
      </c>
      <c r="C548" s="40">
        <v>52.13</v>
      </c>
      <c r="D548" s="40">
        <v>632.14</v>
      </c>
      <c r="E548" s="40">
        <v>58.71</v>
      </c>
      <c r="F548" s="40">
        <v>37.43</v>
      </c>
      <c r="G548" s="40">
        <v>0</v>
      </c>
      <c r="H548" s="40">
        <v>96.14</v>
      </c>
      <c r="I548" s="40">
        <v>0</v>
      </c>
      <c r="J548" s="40">
        <v>26.49</v>
      </c>
      <c r="K548" s="40">
        <v>122.63</v>
      </c>
      <c r="L548" s="40">
        <v>509.51</v>
      </c>
      <c r="M548" s="40">
        <v>367.46</v>
      </c>
      <c r="N548" s="40">
        <v>106.56</v>
      </c>
      <c r="O548" s="40">
        <v>474.02</v>
      </c>
      <c r="P548" s="40">
        <v>35.49</v>
      </c>
      <c r="Q548" s="6">
        <v>93.0344841121862</v>
      </c>
      <c r="R548" s="20"/>
    </row>
    <row r="549" spans="1:18" ht="14.25">
      <c r="A549" s="20" t="s">
        <v>23</v>
      </c>
      <c r="B549" s="40">
        <v>125.36</v>
      </c>
      <c r="C549" s="40">
        <v>19.62</v>
      </c>
      <c r="D549" s="40">
        <v>144.98</v>
      </c>
      <c r="E549" s="40">
        <v>9.72</v>
      </c>
      <c r="F549" s="40">
        <v>0</v>
      </c>
      <c r="G549" s="40">
        <v>0</v>
      </c>
      <c r="H549" s="40">
        <v>9.72</v>
      </c>
      <c r="I549" s="40">
        <v>0</v>
      </c>
      <c r="J549" s="40">
        <v>0</v>
      </c>
      <c r="K549" s="40">
        <v>9.72</v>
      </c>
      <c r="L549" s="40">
        <v>135.26</v>
      </c>
      <c r="M549" s="40">
        <v>97.02</v>
      </c>
      <c r="N549" s="40">
        <v>11.32</v>
      </c>
      <c r="O549" s="40">
        <v>108.34</v>
      </c>
      <c r="P549" s="40">
        <v>26.92</v>
      </c>
      <c r="Q549" s="6">
        <v>80.09758982699987</v>
      </c>
      <c r="R549" s="20"/>
    </row>
    <row r="550" spans="1:18" ht="14.25">
      <c r="A550" s="20" t="s">
        <v>24</v>
      </c>
      <c r="B550" s="40">
        <v>413.09</v>
      </c>
      <c r="C550" s="40">
        <v>24.23</v>
      </c>
      <c r="D550" s="40">
        <v>437.32</v>
      </c>
      <c r="E550" s="40">
        <v>76.17</v>
      </c>
      <c r="F550" s="40">
        <v>93.91</v>
      </c>
      <c r="G550" s="40">
        <v>0</v>
      </c>
      <c r="H550" s="40">
        <v>170.08</v>
      </c>
      <c r="I550" s="40">
        <v>0</v>
      </c>
      <c r="J550" s="40">
        <v>0</v>
      </c>
      <c r="K550" s="40">
        <v>170.08</v>
      </c>
      <c r="L550" s="40">
        <v>267.24</v>
      </c>
      <c r="M550" s="40">
        <v>204.59</v>
      </c>
      <c r="N550" s="40">
        <v>39.68</v>
      </c>
      <c r="O550" s="40">
        <v>244.27</v>
      </c>
      <c r="P550" s="40">
        <v>22.97</v>
      </c>
      <c r="Q550" s="6">
        <v>91.40472983086364</v>
      </c>
      <c r="R550" s="20"/>
    </row>
    <row r="551" spans="1:18" ht="14.25">
      <c r="A551" s="20" t="s">
        <v>25</v>
      </c>
      <c r="B551" s="40">
        <v>217.9</v>
      </c>
      <c r="C551" s="40">
        <v>54.42</v>
      </c>
      <c r="D551" s="40">
        <v>272.32</v>
      </c>
      <c r="E551" s="40">
        <v>0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272.32</v>
      </c>
      <c r="M551" s="40">
        <v>217.9</v>
      </c>
      <c r="N551" s="40">
        <v>54.42</v>
      </c>
      <c r="O551" s="40">
        <v>272.32</v>
      </c>
      <c r="P551" s="40">
        <v>0</v>
      </c>
      <c r="Q551" s="6">
        <v>100</v>
      </c>
      <c r="R551" s="38"/>
    </row>
    <row r="552" spans="1:18" ht="14.25">
      <c r="A552" s="20" t="s">
        <v>26</v>
      </c>
      <c r="B552" s="40">
        <v>162.07</v>
      </c>
      <c r="C552" s="40">
        <v>10.47</v>
      </c>
      <c r="D552" s="40">
        <v>172.54</v>
      </c>
      <c r="E552" s="40">
        <v>0</v>
      </c>
      <c r="F552" s="40">
        <v>10.89</v>
      </c>
      <c r="G552" s="40">
        <v>0</v>
      </c>
      <c r="H552" s="40">
        <v>10.89</v>
      </c>
      <c r="I552" s="40">
        <v>0</v>
      </c>
      <c r="J552" s="40">
        <v>0</v>
      </c>
      <c r="K552" s="40">
        <v>10.89</v>
      </c>
      <c r="L552" s="40">
        <v>161.65</v>
      </c>
      <c r="M552" s="40">
        <v>37.55</v>
      </c>
      <c r="N552" s="40">
        <v>9.87</v>
      </c>
      <c r="O552" s="40">
        <v>47.42</v>
      </c>
      <c r="P552" s="40">
        <v>114.23</v>
      </c>
      <c r="Q552" s="6">
        <v>29.334982987936904</v>
      </c>
      <c r="R552" s="20"/>
    </row>
    <row r="553" spans="1:18" ht="14.25">
      <c r="A553" s="20" t="s">
        <v>27</v>
      </c>
      <c r="B553" s="40">
        <v>201.18</v>
      </c>
      <c r="C553" s="40">
        <v>48.88</v>
      </c>
      <c r="D553" s="40">
        <v>250.06</v>
      </c>
      <c r="E553" s="40">
        <v>51.45</v>
      </c>
      <c r="F553" s="40">
        <v>58.8</v>
      </c>
      <c r="G553" s="40">
        <v>0</v>
      </c>
      <c r="H553" s="40">
        <v>110.25</v>
      </c>
      <c r="I553" s="40">
        <v>0</v>
      </c>
      <c r="J553" s="40">
        <v>0.85</v>
      </c>
      <c r="K553" s="40">
        <v>111.1</v>
      </c>
      <c r="L553" s="40">
        <v>138.96</v>
      </c>
      <c r="M553" s="40">
        <v>117.28</v>
      </c>
      <c r="N553" s="40">
        <v>21.69</v>
      </c>
      <c r="O553" s="40">
        <v>138.97</v>
      </c>
      <c r="P553" s="40">
        <v>-0.009999999999990905</v>
      </c>
      <c r="Q553" s="6">
        <v>100.00719631548647</v>
      </c>
      <c r="R553" s="38" t="s">
        <v>83</v>
      </c>
    </row>
    <row r="554" spans="1:18" ht="14.25">
      <c r="A554" s="20" t="s">
        <v>28</v>
      </c>
      <c r="B554" s="40">
        <v>514.61</v>
      </c>
      <c r="C554" s="40">
        <v>5.33</v>
      </c>
      <c r="D554" s="40">
        <v>519.94</v>
      </c>
      <c r="E554" s="40">
        <v>24.81</v>
      </c>
      <c r="F554" s="40">
        <v>24.93</v>
      </c>
      <c r="G554" s="40">
        <v>0</v>
      </c>
      <c r="H554" s="40">
        <v>49.74</v>
      </c>
      <c r="I554" s="40">
        <v>0</v>
      </c>
      <c r="J554" s="40">
        <v>3.34</v>
      </c>
      <c r="K554" s="40">
        <v>53.08</v>
      </c>
      <c r="L554" s="40">
        <v>466.86</v>
      </c>
      <c r="M554" s="40">
        <v>182.17</v>
      </c>
      <c r="N554" s="40">
        <v>34.5</v>
      </c>
      <c r="O554" s="40">
        <v>216.67</v>
      </c>
      <c r="P554" s="40">
        <v>250.19</v>
      </c>
      <c r="Q554" s="6">
        <v>46.41005868997129</v>
      </c>
      <c r="R554" s="20"/>
    </row>
    <row r="555" spans="1:18" ht="14.25">
      <c r="A555" s="20" t="s">
        <v>29</v>
      </c>
      <c r="B555" s="40">
        <v>125.72</v>
      </c>
      <c r="C555" s="40">
        <v>4.99</v>
      </c>
      <c r="D555" s="40">
        <v>130.71</v>
      </c>
      <c r="E555" s="40">
        <v>4.12</v>
      </c>
      <c r="F555" s="40">
        <v>13.33</v>
      </c>
      <c r="G555" s="40">
        <v>2.07</v>
      </c>
      <c r="H555" s="40">
        <v>19.52</v>
      </c>
      <c r="I555" s="40">
        <v>0</v>
      </c>
      <c r="J555" s="40">
        <v>1.02</v>
      </c>
      <c r="K555" s="40">
        <v>20.54</v>
      </c>
      <c r="L555" s="40">
        <v>110.17</v>
      </c>
      <c r="M555" s="40">
        <v>68.22</v>
      </c>
      <c r="N555" s="40">
        <v>11.41</v>
      </c>
      <c r="O555" s="40">
        <v>79.63</v>
      </c>
      <c r="P555" s="40">
        <v>30.54</v>
      </c>
      <c r="Q555" s="6">
        <v>72.2792048652083</v>
      </c>
      <c r="R555" s="20"/>
    </row>
    <row r="556" spans="1:18" ht="14.25">
      <c r="A556" s="20" t="s">
        <v>30</v>
      </c>
      <c r="B556" s="40">
        <v>64.21</v>
      </c>
      <c r="C556" s="40">
        <v>0</v>
      </c>
      <c r="D556" s="40">
        <v>64.21</v>
      </c>
      <c r="E556" s="40">
        <v>4.88</v>
      </c>
      <c r="F556" s="40">
        <v>10.93</v>
      </c>
      <c r="G556" s="40">
        <v>0</v>
      </c>
      <c r="H556" s="40">
        <v>15.81</v>
      </c>
      <c r="I556" s="40">
        <v>0</v>
      </c>
      <c r="J556" s="40">
        <v>2.71</v>
      </c>
      <c r="K556" s="40">
        <v>18.52</v>
      </c>
      <c r="L556" s="40">
        <v>45.69</v>
      </c>
      <c r="M556" s="40">
        <v>38.64</v>
      </c>
      <c r="N556" s="40">
        <v>4.83</v>
      </c>
      <c r="O556" s="40">
        <v>43.47</v>
      </c>
      <c r="P556" s="40">
        <v>2.22</v>
      </c>
      <c r="Q556" s="6">
        <v>95.14116874589627</v>
      </c>
      <c r="R556" s="20"/>
    </row>
    <row r="557" spans="1:18" ht="14.25">
      <c r="A557" s="20" t="s">
        <v>31</v>
      </c>
      <c r="B557" s="40">
        <v>660.83</v>
      </c>
      <c r="C557" s="40">
        <v>0</v>
      </c>
      <c r="D557" s="40">
        <v>660.83</v>
      </c>
      <c r="E557" s="40">
        <v>8.9</v>
      </c>
      <c r="F557" s="40">
        <v>121.08</v>
      </c>
      <c r="G557" s="40">
        <v>12.47</v>
      </c>
      <c r="H557" s="40">
        <v>142.45</v>
      </c>
      <c r="I557" s="40">
        <v>0</v>
      </c>
      <c r="J557" s="40">
        <v>0</v>
      </c>
      <c r="K557" s="40">
        <v>142.45</v>
      </c>
      <c r="L557" s="40">
        <v>518.38</v>
      </c>
      <c r="M557" s="40">
        <v>265.9</v>
      </c>
      <c r="N557" s="40">
        <v>75.43</v>
      </c>
      <c r="O557" s="40">
        <v>341.33</v>
      </c>
      <c r="P557" s="40">
        <v>177.05</v>
      </c>
      <c r="Q557" s="6">
        <v>65.84551873143253</v>
      </c>
      <c r="R557" s="20"/>
    </row>
    <row r="558" spans="1:18" ht="14.25">
      <c r="A558" s="20" t="s">
        <v>32</v>
      </c>
      <c r="B558" s="40">
        <v>0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6">
        <v>0</v>
      </c>
      <c r="R558" s="20"/>
    </row>
    <row r="559" spans="1:18" ht="14.25">
      <c r="A559" s="20" t="s">
        <v>33</v>
      </c>
      <c r="B559" s="40">
        <v>248.77</v>
      </c>
      <c r="C559" s="40">
        <v>13.62</v>
      </c>
      <c r="D559" s="40">
        <v>262.39</v>
      </c>
      <c r="E559" s="40">
        <v>18.67</v>
      </c>
      <c r="F559" s="40">
        <v>16.53</v>
      </c>
      <c r="G559" s="40">
        <v>0</v>
      </c>
      <c r="H559" s="40">
        <v>35.2</v>
      </c>
      <c r="I559" s="40">
        <v>0</v>
      </c>
      <c r="J559" s="40">
        <v>4.84</v>
      </c>
      <c r="K559" s="40">
        <v>40.04</v>
      </c>
      <c r="L559" s="40">
        <v>222.35</v>
      </c>
      <c r="M559" s="40">
        <v>85.61</v>
      </c>
      <c r="N559" s="40">
        <v>22.51</v>
      </c>
      <c r="O559" s="40">
        <v>108.12</v>
      </c>
      <c r="P559" s="40">
        <v>114.23</v>
      </c>
      <c r="Q559" s="6">
        <v>48.6260400269845</v>
      </c>
      <c r="R559" s="20"/>
    </row>
    <row r="560" spans="1:18" ht="14.25">
      <c r="A560" s="20" t="s">
        <v>34</v>
      </c>
      <c r="B560" s="40">
        <v>21.08</v>
      </c>
      <c r="C560" s="40">
        <v>1.72</v>
      </c>
      <c r="D560" s="40">
        <v>22.8</v>
      </c>
      <c r="E560" s="40">
        <v>1.19</v>
      </c>
      <c r="F560" s="40">
        <v>1.24</v>
      </c>
      <c r="G560" s="40">
        <v>0</v>
      </c>
      <c r="H560" s="40">
        <v>2.43</v>
      </c>
      <c r="I560" s="40">
        <v>0</v>
      </c>
      <c r="J560" s="40">
        <v>0</v>
      </c>
      <c r="K560" s="40">
        <v>2.43</v>
      </c>
      <c r="L560" s="40">
        <v>20.37</v>
      </c>
      <c r="M560" s="40">
        <v>11.13</v>
      </c>
      <c r="N560" s="40">
        <v>1.28</v>
      </c>
      <c r="O560" s="40">
        <v>12.41</v>
      </c>
      <c r="P560" s="40">
        <v>7.96</v>
      </c>
      <c r="Q560" s="6">
        <v>60.92292587137948</v>
      </c>
      <c r="R560" s="20"/>
    </row>
    <row r="561" spans="1:18" ht="15">
      <c r="A561" s="21" t="s">
        <v>35</v>
      </c>
      <c r="B561" s="22">
        <v>5380.18</v>
      </c>
      <c r="C561" s="22">
        <v>424.24</v>
      </c>
      <c r="D561" s="22">
        <v>5804.42</v>
      </c>
      <c r="E561" s="22">
        <v>335.94</v>
      </c>
      <c r="F561" s="22">
        <v>435.3</v>
      </c>
      <c r="G561" s="22">
        <v>14.54</v>
      </c>
      <c r="H561" s="22">
        <v>785.78</v>
      </c>
      <c r="I561" s="41">
        <v>3.9</v>
      </c>
      <c r="J561" s="41">
        <v>79.08</v>
      </c>
      <c r="K561" s="41">
        <v>868.76</v>
      </c>
      <c r="L561" s="41">
        <v>4935.66</v>
      </c>
      <c r="M561" s="22">
        <v>2489.27</v>
      </c>
      <c r="N561" s="22">
        <v>567.87</v>
      </c>
      <c r="O561" s="41">
        <v>3057.14</v>
      </c>
      <c r="P561" s="41">
        <v>1878.52</v>
      </c>
      <c r="Q561" s="22">
        <v>61.93984188538108</v>
      </c>
      <c r="R561" s="20"/>
    </row>
    <row r="562" spans="9:15" ht="12.75">
      <c r="I562" s="33"/>
      <c r="J562" s="33"/>
      <c r="L562" s="33"/>
      <c r="O562" s="33"/>
    </row>
    <row r="563" spans="1:17" ht="18">
      <c r="A563" s="157" t="s">
        <v>84</v>
      </c>
      <c r="B563" s="157"/>
      <c r="C563" s="157"/>
      <c r="D563" s="157"/>
      <c r="E563" s="157"/>
      <c r="F563" s="15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  <c r="Q563" s="157"/>
    </row>
    <row r="564" spans="1:17" ht="18">
      <c r="A564" s="157" t="s">
        <v>111</v>
      </c>
      <c r="B564" s="157"/>
      <c r="C564" s="157"/>
      <c r="D564" s="157"/>
      <c r="E564" s="157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</row>
    <row r="565" spans="1:17" ht="15.75">
      <c r="A565" s="158" t="s">
        <v>2</v>
      </c>
      <c r="B565" s="158"/>
      <c r="C565" s="158"/>
      <c r="D565" s="158"/>
      <c r="E565" s="158"/>
      <c r="F565" s="15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</row>
    <row r="566" spans="1:18" ht="12.75">
      <c r="A566" s="147" t="s">
        <v>3</v>
      </c>
      <c r="B566" s="153" t="s">
        <v>4</v>
      </c>
      <c r="C566" s="153" t="s">
        <v>5</v>
      </c>
      <c r="D566" s="153" t="s">
        <v>6</v>
      </c>
      <c r="E566" s="152" t="s">
        <v>7</v>
      </c>
      <c r="F566" s="152"/>
      <c r="G566" s="152"/>
      <c r="H566" s="147" t="s">
        <v>8</v>
      </c>
      <c r="I566" s="146" t="s">
        <v>9</v>
      </c>
      <c r="J566" s="146" t="s">
        <v>38</v>
      </c>
      <c r="K566" s="150" t="s">
        <v>11</v>
      </c>
      <c r="L566" s="146" t="s">
        <v>39</v>
      </c>
      <c r="M566" s="147" t="s">
        <v>13</v>
      </c>
      <c r="N566" s="147" t="s">
        <v>14</v>
      </c>
      <c r="O566" s="146" t="s">
        <v>15</v>
      </c>
      <c r="P566" s="147" t="s">
        <v>16</v>
      </c>
      <c r="Q566" s="147" t="s">
        <v>17</v>
      </c>
      <c r="R566" s="148" t="s">
        <v>82</v>
      </c>
    </row>
    <row r="567" spans="1:18" ht="67.5" customHeight="1">
      <c r="A567" s="147"/>
      <c r="B567" s="155"/>
      <c r="C567" s="156"/>
      <c r="D567" s="154"/>
      <c r="E567" s="19" t="s">
        <v>18</v>
      </c>
      <c r="F567" s="19" t="s">
        <v>19</v>
      </c>
      <c r="G567" s="19" t="s">
        <v>20</v>
      </c>
      <c r="H567" s="159"/>
      <c r="I567" s="146"/>
      <c r="J567" s="146"/>
      <c r="K567" s="151"/>
      <c r="L567" s="146"/>
      <c r="M567" s="147"/>
      <c r="N567" s="147"/>
      <c r="O567" s="146"/>
      <c r="P567" s="147"/>
      <c r="Q567" s="147"/>
      <c r="R567" s="149"/>
    </row>
    <row r="568" spans="1:18" ht="14.25">
      <c r="A568" s="20" t="s">
        <v>21</v>
      </c>
      <c r="B568" s="4">
        <v>120.34</v>
      </c>
      <c r="C568" s="4">
        <v>23.61</v>
      </c>
      <c r="D568" s="4">
        <v>143.95</v>
      </c>
      <c r="E568" s="4">
        <v>23.23</v>
      </c>
      <c r="F568" s="4">
        <v>35.03</v>
      </c>
      <c r="G568" s="4">
        <v>0</v>
      </c>
      <c r="H568" s="4">
        <v>58.26</v>
      </c>
      <c r="I568" s="5">
        <v>0.13</v>
      </c>
      <c r="J568" s="5">
        <v>12.92</v>
      </c>
      <c r="K568" s="4">
        <v>71.31</v>
      </c>
      <c r="L568" s="5">
        <v>72.64</v>
      </c>
      <c r="M568" s="4">
        <v>8.11</v>
      </c>
      <c r="N568" s="4">
        <v>40.09</v>
      </c>
      <c r="O568" s="5">
        <v>48.2</v>
      </c>
      <c r="P568" s="4">
        <v>24.44</v>
      </c>
      <c r="Q568" s="6">
        <v>66.35462555066081</v>
      </c>
      <c r="R568" s="20"/>
    </row>
    <row r="569" spans="1:18" ht="14.25">
      <c r="A569" s="20" t="s">
        <v>22</v>
      </c>
      <c r="B569" s="4">
        <v>129.33</v>
      </c>
      <c r="C569" s="4">
        <v>30.42</v>
      </c>
      <c r="D569" s="4">
        <v>159.75</v>
      </c>
      <c r="E569" s="4">
        <v>72.06</v>
      </c>
      <c r="F569" s="4">
        <v>37.75</v>
      </c>
      <c r="G569" s="4">
        <v>6.32</v>
      </c>
      <c r="H569" s="4">
        <v>116.13</v>
      </c>
      <c r="I569" s="5">
        <v>0</v>
      </c>
      <c r="J569" s="5">
        <v>2.62</v>
      </c>
      <c r="K569" s="4">
        <v>118.75</v>
      </c>
      <c r="L569" s="5">
        <v>41</v>
      </c>
      <c r="M569" s="4">
        <v>13.89</v>
      </c>
      <c r="N569" s="4">
        <v>18.8</v>
      </c>
      <c r="O569" s="5">
        <v>32.69</v>
      </c>
      <c r="P569" s="4">
        <v>8.31</v>
      </c>
      <c r="Q569" s="6">
        <v>79.73170731707316</v>
      </c>
      <c r="R569" s="20"/>
    </row>
    <row r="570" spans="1:18" ht="14.25">
      <c r="A570" s="20" t="s">
        <v>23</v>
      </c>
      <c r="B570" s="4">
        <v>43.12</v>
      </c>
      <c r="C570" s="4">
        <v>7.64</v>
      </c>
      <c r="D570" s="4">
        <v>50.76</v>
      </c>
      <c r="E570" s="4">
        <v>9.06</v>
      </c>
      <c r="F570" s="4">
        <v>2.94</v>
      </c>
      <c r="G570" s="4">
        <v>0</v>
      </c>
      <c r="H570" s="4">
        <v>12</v>
      </c>
      <c r="I570" s="5">
        <v>8.14</v>
      </c>
      <c r="J570" s="5">
        <v>15.77</v>
      </c>
      <c r="K570" s="4">
        <v>35.91</v>
      </c>
      <c r="L570" s="5">
        <v>14.85</v>
      </c>
      <c r="M570" s="4">
        <v>6.73</v>
      </c>
      <c r="N570" s="4">
        <v>8.08</v>
      </c>
      <c r="O570" s="5">
        <v>14.81</v>
      </c>
      <c r="P570" s="4">
        <v>0.040000000000000924</v>
      </c>
      <c r="Q570" s="6">
        <v>99.73063973063972</v>
      </c>
      <c r="R570" s="20"/>
    </row>
    <row r="571" spans="1:18" ht="14.25">
      <c r="A571" s="20" t="s">
        <v>24</v>
      </c>
      <c r="B571" s="4">
        <v>263.96</v>
      </c>
      <c r="C571" s="4">
        <v>4.93</v>
      </c>
      <c r="D571" s="4">
        <v>268.89</v>
      </c>
      <c r="E571" s="4">
        <v>152.01</v>
      </c>
      <c r="F571" s="4">
        <v>10.29</v>
      </c>
      <c r="G571" s="4">
        <v>0</v>
      </c>
      <c r="H571" s="4">
        <v>162.3</v>
      </c>
      <c r="I571" s="5">
        <v>0</v>
      </c>
      <c r="J571" s="5">
        <v>29.32</v>
      </c>
      <c r="K571" s="4">
        <v>191.62</v>
      </c>
      <c r="L571" s="5">
        <v>77.27</v>
      </c>
      <c r="M571" s="4">
        <v>54.32</v>
      </c>
      <c r="N571" s="4">
        <v>12.67</v>
      </c>
      <c r="O571" s="5">
        <v>66.99</v>
      </c>
      <c r="P571" s="4">
        <v>10.28</v>
      </c>
      <c r="Q571" s="6">
        <v>86.69600103533064</v>
      </c>
      <c r="R571" s="20"/>
    </row>
    <row r="572" spans="1:18" ht="14.25">
      <c r="A572" s="20" t="s">
        <v>25</v>
      </c>
      <c r="B572" s="4">
        <v>133.24</v>
      </c>
      <c r="C572" s="4">
        <v>10.6</v>
      </c>
      <c r="D572" s="4">
        <v>143.84</v>
      </c>
      <c r="E572" s="4">
        <v>51.37</v>
      </c>
      <c r="F572" s="4">
        <v>28.02</v>
      </c>
      <c r="G572" s="4">
        <v>14.3</v>
      </c>
      <c r="H572" s="4">
        <v>93.69</v>
      </c>
      <c r="I572" s="5">
        <v>0</v>
      </c>
      <c r="J572" s="5">
        <v>9.67</v>
      </c>
      <c r="K572" s="4">
        <v>103.36</v>
      </c>
      <c r="L572" s="5">
        <v>40.48</v>
      </c>
      <c r="M572" s="4">
        <v>21.8</v>
      </c>
      <c r="N572" s="4">
        <v>16.31</v>
      </c>
      <c r="O572" s="5">
        <v>38.11</v>
      </c>
      <c r="P572" s="6">
        <v>2.37</v>
      </c>
      <c r="Q572" s="6">
        <v>94.14525691699603</v>
      </c>
      <c r="R572" s="39"/>
    </row>
    <row r="573" spans="1:18" ht="14.25">
      <c r="A573" s="20" t="s">
        <v>26</v>
      </c>
      <c r="B573" s="4">
        <v>34.46</v>
      </c>
      <c r="C573" s="4">
        <v>0.05</v>
      </c>
      <c r="D573" s="4">
        <v>34.51</v>
      </c>
      <c r="E573" s="4">
        <v>23.5</v>
      </c>
      <c r="F573" s="4">
        <v>0.54</v>
      </c>
      <c r="G573" s="4">
        <v>0.43</v>
      </c>
      <c r="H573" s="4">
        <v>24.47</v>
      </c>
      <c r="I573" s="5">
        <v>0</v>
      </c>
      <c r="J573" s="5">
        <v>5.79</v>
      </c>
      <c r="K573" s="4">
        <v>30.26</v>
      </c>
      <c r="L573" s="5">
        <v>4.25</v>
      </c>
      <c r="M573" s="4">
        <v>0.8</v>
      </c>
      <c r="N573" s="4">
        <v>3.45</v>
      </c>
      <c r="O573" s="5">
        <v>4.25</v>
      </c>
      <c r="P573" s="4">
        <v>0</v>
      </c>
      <c r="Q573" s="6">
        <v>100</v>
      </c>
      <c r="R573" s="20"/>
    </row>
    <row r="574" spans="1:18" ht="14.25">
      <c r="A574" s="20" t="s">
        <v>27</v>
      </c>
      <c r="B574" s="4">
        <v>454.8</v>
      </c>
      <c r="C574" s="4">
        <v>5.64</v>
      </c>
      <c r="D574" s="4">
        <v>460.44</v>
      </c>
      <c r="E574" s="4">
        <v>61.64</v>
      </c>
      <c r="F574" s="4">
        <v>280.86</v>
      </c>
      <c r="G574" s="4">
        <v>41.46</v>
      </c>
      <c r="H574" s="4">
        <v>383.96</v>
      </c>
      <c r="I574" s="5">
        <v>1.95</v>
      </c>
      <c r="J574" s="5">
        <v>1.95</v>
      </c>
      <c r="K574" s="4">
        <v>387.86</v>
      </c>
      <c r="L574" s="5">
        <v>72.58</v>
      </c>
      <c r="M574" s="4">
        <v>26.22</v>
      </c>
      <c r="N574" s="4">
        <v>5.93</v>
      </c>
      <c r="O574" s="5">
        <v>32.15</v>
      </c>
      <c r="P574" s="6">
        <v>40.43</v>
      </c>
      <c r="Q574" s="6">
        <v>44.295949297327056</v>
      </c>
      <c r="R574" s="39"/>
    </row>
    <row r="575" spans="1:18" ht="14.25">
      <c r="A575" s="20" t="s">
        <v>28</v>
      </c>
      <c r="B575" s="4">
        <v>393.65</v>
      </c>
      <c r="C575" s="4">
        <v>21.74</v>
      </c>
      <c r="D575" s="4">
        <v>415.39</v>
      </c>
      <c r="E575" s="4">
        <v>180.88</v>
      </c>
      <c r="F575" s="4">
        <v>180.47</v>
      </c>
      <c r="G575" s="4">
        <v>0</v>
      </c>
      <c r="H575" s="4">
        <v>361.35</v>
      </c>
      <c r="I575" s="5">
        <v>1.72</v>
      </c>
      <c r="J575" s="5">
        <v>0.31</v>
      </c>
      <c r="K575" s="4">
        <v>363.38</v>
      </c>
      <c r="L575" s="5">
        <v>52.009999999999934</v>
      </c>
      <c r="M575" s="4">
        <v>35.33</v>
      </c>
      <c r="N575" s="4">
        <v>8.96</v>
      </c>
      <c r="O575" s="5">
        <v>44.29</v>
      </c>
      <c r="P575" s="4">
        <v>7.719999999999935</v>
      </c>
      <c r="Q575" s="6">
        <v>85.15670063449348</v>
      </c>
      <c r="R575" s="38"/>
    </row>
    <row r="576" spans="1:18" ht="14.25">
      <c r="A576" s="20" t="s">
        <v>29</v>
      </c>
      <c r="B576" s="4">
        <v>108.46</v>
      </c>
      <c r="C576" s="4">
        <v>1.82</v>
      </c>
      <c r="D576" s="4">
        <v>110.28</v>
      </c>
      <c r="E576" s="4">
        <v>63.81</v>
      </c>
      <c r="F576" s="4">
        <v>5.2</v>
      </c>
      <c r="G576" s="4">
        <v>18.34</v>
      </c>
      <c r="H576" s="4">
        <v>87.35</v>
      </c>
      <c r="I576" s="5">
        <v>0</v>
      </c>
      <c r="J576" s="5">
        <v>7.67</v>
      </c>
      <c r="K576" s="4">
        <v>95.02</v>
      </c>
      <c r="L576" s="5">
        <v>15.26</v>
      </c>
      <c r="M576" s="4">
        <v>10.92</v>
      </c>
      <c r="N576" s="4">
        <v>2.95</v>
      </c>
      <c r="O576" s="5">
        <v>13.87</v>
      </c>
      <c r="P576" s="4">
        <v>1.38999999999999</v>
      </c>
      <c r="Q576" s="6">
        <v>90.89121887287031</v>
      </c>
      <c r="R576" s="20"/>
    </row>
    <row r="577" spans="1:18" ht="14.25">
      <c r="A577" s="20" t="s">
        <v>30</v>
      </c>
      <c r="B577" s="4">
        <v>0.93</v>
      </c>
      <c r="C577" s="4">
        <v>0.02</v>
      </c>
      <c r="D577" s="4">
        <v>0.95</v>
      </c>
      <c r="E577" s="4">
        <v>0</v>
      </c>
      <c r="F577" s="4">
        <v>0.52</v>
      </c>
      <c r="G577" s="4">
        <v>0</v>
      </c>
      <c r="H577" s="4">
        <v>0.52</v>
      </c>
      <c r="I577" s="5">
        <v>0</v>
      </c>
      <c r="J577" s="5">
        <v>0.28</v>
      </c>
      <c r="K577" s="4">
        <v>0.8</v>
      </c>
      <c r="L577" s="5">
        <v>0.15</v>
      </c>
      <c r="M577" s="4">
        <v>0.12</v>
      </c>
      <c r="N577" s="4">
        <v>0.04</v>
      </c>
      <c r="O577" s="5">
        <v>0.16</v>
      </c>
      <c r="P577" s="6">
        <v>-0.009999999999999981</v>
      </c>
      <c r="Q577" s="6">
        <v>106.66666666666664</v>
      </c>
      <c r="R577" s="38" t="s">
        <v>83</v>
      </c>
    </row>
    <row r="578" spans="1:18" ht="14.25">
      <c r="A578" s="20" t="s">
        <v>31</v>
      </c>
      <c r="B578" s="4">
        <v>1.6</v>
      </c>
      <c r="C578" s="4">
        <v>0</v>
      </c>
      <c r="D578" s="4">
        <v>1.6</v>
      </c>
      <c r="E578" s="4">
        <v>0</v>
      </c>
      <c r="F578" s="4">
        <v>0</v>
      </c>
      <c r="G578" s="4">
        <v>0</v>
      </c>
      <c r="H578" s="4">
        <v>0</v>
      </c>
      <c r="I578" s="5">
        <v>0</v>
      </c>
      <c r="J578" s="5">
        <v>0</v>
      </c>
      <c r="K578" s="4">
        <v>0</v>
      </c>
      <c r="L578" s="5">
        <v>1.6</v>
      </c>
      <c r="M578" s="4">
        <v>0.32</v>
      </c>
      <c r="N578" s="4">
        <v>0</v>
      </c>
      <c r="O578" s="5">
        <v>0.32</v>
      </c>
      <c r="P578" s="4">
        <v>1.28</v>
      </c>
      <c r="Q578" s="6">
        <v>20</v>
      </c>
      <c r="R578" s="20"/>
    </row>
    <row r="579" spans="1:18" ht="14.25">
      <c r="A579" s="20" t="s">
        <v>32</v>
      </c>
      <c r="B579" s="4">
        <v>7.05</v>
      </c>
      <c r="C579" s="4">
        <v>0.24</v>
      </c>
      <c r="D579" s="4">
        <v>7.29</v>
      </c>
      <c r="E579" s="4">
        <v>0</v>
      </c>
      <c r="F579" s="4">
        <v>1.39</v>
      </c>
      <c r="G579" s="4">
        <v>0</v>
      </c>
      <c r="H579" s="4">
        <v>1.39</v>
      </c>
      <c r="I579" s="5">
        <v>0</v>
      </c>
      <c r="J579" s="5">
        <v>0</v>
      </c>
      <c r="K579" s="4">
        <v>1.39</v>
      </c>
      <c r="L579" s="5">
        <v>5.9</v>
      </c>
      <c r="M579" s="4">
        <v>5.66</v>
      </c>
      <c r="N579" s="4">
        <v>0.24</v>
      </c>
      <c r="O579" s="5">
        <v>5.9</v>
      </c>
      <c r="P579" s="4">
        <v>0</v>
      </c>
      <c r="Q579" s="6">
        <v>100</v>
      </c>
      <c r="R579" s="20"/>
    </row>
    <row r="580" spans="1:18" ht="14.25">
      <c r="A580" s="20" t="s">
        <v>33</v>
      </c>
      <c r="B580" s="4">
        <v>143.9</v>
      </c>
      <c r="C580" s="4">
        <v>0.02</v>
      </c>
      <c r="D580" s="4">
        <v>143.92</v>
      </c>
      <c r="E580" s="4">
        <v>79.95</v>
      </c>
      <c r="F580" s="4">
        <v>11.79</v>
      </c>
      <c r="G580" s="4">
        <v>8.1</v>
      </c>
      <c r="H580" s="4">
        <v>99.84</v>
      </c>
      <c r="I580" s="5">
        <v>0</v>
      </c>
      <c r="J580" s="5">
        <v>1.9</v>
      </c>
      <c r="K580" s="4">
        <v>101.74</v>
      </c>
      <c r="L580" s="5">
        <v>42.18</v>
      </c>
      <c r="M580" s="4">
        <v>8.3</v>
      </c>
      <c r="N580" s="4">
        <v>0.07</v>
      </c>
      <c r="O580" s="5">
        <v>8.37</v>
      </c>
      <c r="P580" s="4">
        <v>33.81</v>
      </c>
      <c r="Q580" s="6">
        <v>19.84352773826458</v>
      </c>
      <c r="R580" s="20"/>
    </row>
    <row r="581" spans="1:18" ht="14.25">
      <c r="A581" s="20" t="s">
        <v>34</v>
      </c>
      <c r="B581" s="4">
        <v>8.08</v>
      </c>
      <c r="C581" s="4">
        <v>0</v>
      </c>
      <c r="D581" s="4">
        <v>8.08</v>
      </c>
      <c r="E581" s="4">
        <v>4.32</v>
      </c>
      <c r="F581" s="4">
        <v>0.15</v>
      </c>
      <c r="G581" s="4">
        <v>0</v>
      </c>
      <c r="H581" s="4">
        <v>4.47</v>
      </c>
      <c r="I581" s="5">
        <v>0</v>
      </c>
      <c r="J581" s="5">
        <v>0</v>
      </c>
      <c r="K581" s="4">
        <v>4.47</v>
      </c>
      <c r="L581" s="5">
        <v>3.61</v>
      </c>
      <c r="M581" s="4">
        <v>2.91</v>
      </c>
      <c r="N581" s="4">
        <v>0.04</v>
      </c>
      <c r="O581" s="5">
        <v>2.95</v>
      </c>
      <c r="P581" s="4">
        <v>0.6599999999999993</v>
      </c>
      <c r="Q581" s="6">
        <v>81.71745152354572</v>
      </c>
      <c r="R581" s="20"/>
    </row>
    <row r="582" spans="1:18" ht="15">
      <c r="A582" s="21" t="s">
        <v>35</v>
      </c>
      <c r="B582" s="8">
        <v>1842.92</v>
      </c>
      <c r="C582" s="8">
        <v>106.73</v>
      </c>
      <c r="D582" s="8">
        <v>1949.65</v>
      </c>
      <c r="E582" s="8">
        <v>721.83</v>
      </c>
      <c r="F582" s="8">
        <v>594.95</v>
      </c>
      <c r="G582" s="8">
        <v>88.95</v>
      </c>
      <c r="H582" s="8">
        <v>1405.73</v>
      </c>
      <c r="I582" s="9">
        <v>11.94</v>
      </c>
      <c r="J582" s="9">
        <v>88.2</v>
      </c>
      <c r="K582" s="8">
        <v>1505.87</v>
      </c>
      <c r="L582" s="9">
        <v>443.78</v>
      </c>
      <c r="M582" s="8">
        <v>195.43</v>
      </c>
      <c r="N582" s="8">
        <v>117.63</v>
      </c>
      <c r="O582" s="9">
        <v>313.06</v>
      </c>
      <c r="P582" s="8">
        <v>130.72</v>
      </c>
      <c r="Q582" s="22">
        <v>70.54396322502144</v>
      </c>
      <c r="R582" s="20"/>
    </row>
    <row r="583" spans="1:18" ht="15">
      <c r="A583" s="53"/>
      <c r="B583" s="14"/>
      <c r="C583" s="14"/>
      <c r="D583" s="14"/>
      <c r="E583" s="14"/>
      <c r="F583" s="14"/>
      <c r="G583" s="14"/>
      <c r="H583" s="14"/>
      <c r="I583" s="15"/>
      <c r="J583" s="15"/>
      <c r="K583" s="14"/>
      <c r="L583" s="15"/>
      <c r="M583" s="14"/>
      <c r="N583" s="14"/>
      <c r="O583" s="15"/>
      <c r="P583" s="14"/>
      <c r="Q583" s="46"/>
      <c r="R583" s="54"/>
    </row>
    <row r="584" spans="1:18" ht="18">
      <c r="A584" s="157" t="s">
        <v>84</v>
      </c>
      <c r="B584" s="157"/>
      <c r="C584" s="157"/>
      <c r="D584" s="157"/>
      <c r="E584" s="157"/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  <c r="Q584" s="157"/>
      <c r="R584" s="54"/>
    </row>
    <row r="585" spans="1:18" ht="18">
      <c r="A585" s="157" t="s">
        <v>77</v>
      </c>
      <c r="B585" s="157"/>
      <c r="C585" s="157"/>
      <c r="D585" s="157"/>
      <c r="E585" s="157"/>
      <c r="F585" s="157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  <c r="Q585" s="157"/>
      <c r="R585" s="54"/>
    </row>
    <row r="586" spans="1:18" ht="15.75">
      <c r="A586" s="158" t="s">
        <v>2</v>
      </c>
      <c r="B586" s="158"/>
      <c r="C586" s="158"/>
      <c r="D586" s="158"/>
      <c r="E586" s="158"/>
      <c r="F586" s="15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54"/>
    </row>
    <row r="587" spans="1:18" ht="12.75">
      <c r="A587" s="147" t="s">
        <v>3</v>
      </c>
      <c r="B587" s="153" t="s">
        <v>4</v>
      </c>
      <c r="C587" s="153" t="s">
        <v>5</v>
      </c>
      <c r="D587" s="153" t="s">
        <v>6</v>
      </c>
      <c r="E587" s="152" t="s">
        <v>7</v>
      </c>
      <c r="F587" s="152"/>
      <c r="G587" s="152"/>
      <c r="H587" s="147" t="s">
        <v>8</v>
      </c>
      <c r="I587" s="146" t="s">
        <v>9</v>
      </c>
      <c r="J587" s="146" t="s">
        <v>38</v>
      </c>
      <c r="K587" s="150" t="s">
        <v>11</v>
      </c>
      <c r="L587" s="146" t="s">
        <v>39</v>
      </c>
      <c r="M587" s="147" t="s">
        <v>13</v>
      </c>
      <c r="N587" s="147" t="s">
        <v>14</v>
      </c>
      <c r="O587" s="146" t="s">
        <v>15</v>
      </c>
      <c r="P587" s="147" t="s">
        <v>16</v>
      </c>
      <c r="Q587" s="147" t="s">
        <v>17</v>
      </c>
      <c r="R587" s="148" t="s">
        <v>82</v>
      </c>
    </row>
    <row r="588" spans="1:18" ht="67.5" customHeight="1">
      <c r="A588" s="147"/>
      <c r="B588" s="155"/>
      <c r="C588" s="156"/>
      <c r="D588" s="154"/>
      <c r="E588" s="19" t="s">
        <v>18</v>
      </c>
      <c r="F588" s="19" t="s">
        <v>19</v>
      </c>
      <c r="G588" s="19" t="s">
        <v>20</v>
      </c>
      <c r="H588" s="159"/>
      <c r="I588" s="146"/>
      <c r="J588" s="146"/>
      <c r="K588" s="151"/>
      <c r="L588" s="146"/>
      <c r="M588" s="147"/>
      <c r="N588" s="147"/>
      <c r="O588" s="146"/>
      <c r="P588" s="147"/>
      <c r="Q588" s="147"/>
      <c r="R588" s="149"/>
    </row>
    <row r="589" spans="1:18" ht="14.25">
      <c r="A589" s="20" t="s">
        <v>21</v>
      </c>
      <c r="B589" s="4">
        <v>44.85</v>
      </c>
      <c r="C589" s="4">
        <v>0</v>
      </c>
      <c r="D589" s="4">
        <v>44.85</v>
      </c>
      <c r="E589" s="4">
        <v>0.74</v>
      </c>
      <c r="F589" s="4">
        <v>1.7</v>
      </c>
      <c r="G589" s="4">
        <v>0.85</v>
      </c>
      <c r="H589" s="4">
        <v>3.29</v>
      </c>
      <c r="I589" s="5">
        <v>0</v>
      </c>
      <c r="J589" s="5">
        <v>2.76</v>
      </c>
      <c r="K589" s="4">
        <v>6.05</v>
      </c>
      <c r="L589" s="5">
        <v>38.8</v>
      </c>
      <c r="M589" s="4">
        <v>18.35</v>
      </c>
      <c r="N589" s="4">
        <v>4.35</v>
      </c>
      <c r="O589" s="5">
        <v>22.7</v>
      </c>
      <c r="P589" s="4">
        <v>16.1</v>
      </c>
      <c r="Q589" s="6">
        <v>58.50515463917526</v>
      </c>
      <c r="R589" s="20"/>
    </row>
    <row r="590" spans="1:18" ht="14.25">
      <c r="A590" s="20" t="s">
        <v>22</v>
      </c>
      <c r="B590" s="4">
        <v>1833.05</v>
      </c>
      <c r="C590" s="4">
        <v>24.32</v>
      </c>
      <c r="D590" s="4">
        <v>1857.37</v>
      </c>
      <c r="E590" s="4">
        <v>153.23</v>
      </c>
      <c r="F590" s="4">
        <v>1049.09</v>
      </c>
      <c r="G590" s="4">
        <v>329.75</v>
      </c>
      <c r="H590" s="4">
        <v>1532.07</v>
      </c>
      <c r="I590" s="5">
        <v>0</v>
      </c>
      <c r="J590" s="5">
        <v>37.61</v>
      </c>
      <c r="K590" s="4">
        <v>1569.68</v>
      </c>
      <c r="L590" s="5">
        <v>287.69</v>
      </c>
      <c r="M590" s="4">
        <v>195.77</v>
      </c>
      <c r="N590" s="4">
        <v>51.65</v>
      </c>
      <c r="O590" s="5">
        <v>247.42</v>
      </c>
      <c r="P590" s="4">
        <v>40.27</v>
      </c>
      <c r="Q590" s="6">
        <v>86.0022941360492</v>
      </c>
      <c r="R590" s="20"/>
    </row>
    <row r="591" spans="1:18" ht="14.25">
      <c r="A591" s="20" t="s">
        <v>23</v>
      </c>
      <c r="B591" s="4">
        <v>277.5</v>
      </c>
      <c r="C591" s="4">
        <v>1.9</v>
      </c>
      <c r="D591" s="4">
        <v>279.4</v>
      </c>
      <c r="E591" s="4">
        <v>17.41</v>
      </c>
      <c r="F591" s="4">
        <v>13.05</v>
      </c>
      <c r="G591" s="4">
        <v>0.92</v>
      </c>
      <c r="H591" s="4">
        <v>31.38</v>
      </c>
      <c r="I591" s="5">
        <v>195.23</v>
      </c>
      <c r="J591" s="5">
        <v>11.7</v>
      </c>
      <c r="K591" s="4">
        <v>238.31</v>
      </c>
      <c r="L591" s="5">
        <v>41.09</v>
      </c>
      <c r="M591" s="4">
        <v>19.63</v>
      </c>
      <c r="N591" s="4">
        <v>13.64</v>
      </c>
      <c r="O591" s="5">
        <v>33.27</v>
      </c>
      <c r="P591" s="4">
        <v>7.820000000000007</v>
      </c>
      <c r="Q591" s="6">
        <v>80.96860550012167</v>
      </c>
      <c r="R591" s="20"/>
    </row>
    <row r="592" spans="1:18" ht="14.25">
      <c r="A592" s="20" t="s">
        <v>24</v>
      </c>
      <c r="B592" s="4">
        <v>23.34</v>
      </c>
      <c r="C592" s="4">
        <v>4.72</v>
      </c>
      <c r="D592" s="4">
        <v>28.06</v>
      </c>
      <c r="E592" s="4">
        <v>8.85</v>
      </c>
      <c r="F592" s="4">
        <v>3.33</v>
      </c>
      <c r="G592" s="4">
        <v>0</v>
      </c>
      <c r="H592" s="4">
        <v>12.18</v>
      </c>
      <c r="I592" s="5">
        <v>0.76</v>
      </c>
      <c r="J592" s="5">
        <v>2.63</v>
      </c>
      <c r="K592" s="4">
        <v>15.57</v>
      </c>
      <c r="L592" s="5">
        <v>12.49</v>
      </c>
      <c r="M592" s="4">
        <v>5.06</v>
      </c>
      <c r="N592" s="4">
        <v>5.72</v>
      </c>
      <c r="O592" s="5">
        <v>10.78</v>
      </c>
      <c r="P592" s="4">
        <v>1.71</v>
      </c>
      <c r="Q592" s="6">
        <v>86.30904723779024</v>
      </c>
      <c r="R592" s="20"/>
    </row>
    <row r="593" spans="1:18" ht="14.25">
      <c r="A593" s="20" t="s">
        <v>25</v>
      </c>
      <c r="B593" s="4">
        <v>181.85</v>
      </c>
      <c r="C593" s="4">
        <v>8.39</v>
      </c>
      <c r="D593" s="4">
        <v>190.24</v>
      </c>
      <c r="E593" s="4">
        <v>45.07</v>
      </c>
      <c r="F593" s="4">
        <v>55.96</v>
      </c>
      <c r="G593" s="4">
        <v>25.08</v>
      </c>
      <c r="H593" s="4">
        <v>126.11</v>
      </c>
      <c r="I593" s="5">
        <v>0</v>
      </c>
      <c r="J593" s="5">
        <v>4.03</v>
      </c>
      <c r="K593" s="4">
        <v>130.14</v>
      </c>
      <c r="L593" s="5">
        <v>60.1</v>
      </c>
      <c r="M593" s="4">
        <v>36.84</v>
      </c>
      <c r="N593" s="4">
        <v>14.72</v>
      </c>
      <c r="O593" s="5">
        <v>51.56</v>
      </c>
      <c r="P593" s="4">
        <v>8.54000000000002</v>
      </c>
      <c r="Q593" s="6">
        <v>85.79034941763724</v>
      </c>
      <c r="R593" s="20"/>
    </row>
    <row r="594" spans="1:18" ht="14.25">
      <c r="A594" s="20" t="s">
        <v>26</v>
      </c>
      <c r="B594" s="4">
        <v>2418.78</v>
      </c>
      <c r="C594" s="4">
        <v>0.07</v>
      </c>
      <c r="D594" s="4">
        <v>2418.85</v>
      </c>
      <c r="E594" s="4">
        <v>2339.61</v>
      </c>
      <c r="F594" s="4">
        <v>9.67</v>
      </c>
      <c r="G594" s="4">
        <v>12.89</v>
      </c>
      <c r="H594" s="4">
        <v>2362.17</v>
      </c>
      <c r="I594" s="5">
        <v>0</v>
      </c>
      <c r="J594" s="5">
        <v>29.14</v>
      </c>
      <c r="K594" s="4">
        <v>2391.31</v>
      </c>
      <c r="L594" s="5">
        <v>27.54000000000042</v>
      </c>
      <c r="M594" s="4">
        <v>19.96</v>
      </c>
      <c r="N594" s="4">
        <v>6.76</v>
      </c>
      <c r="O594" s="5">
        <v>26.72</v>
      </c>
      <c r="P594" s="4">
        <v>0.8200000000004195</v>
      </c>
      <c r="Q594" s="6">
        <v>97.02251270878574</v>
      </c>
      <c r="R594" s="20"/>
    </row>
    <row r="595" spans="1:18" ht="14.25">
      <c r="A595" s="20" t="s">
        <v>27</v>
      </c>
      <c r="B595" s="4">
        <v>3143.98</v>
      </c>
      <c r="C595" s="4">
        <v>28.16</v>
      </c>
      <c r="D595" s="4">
        <v>3172.14</v>
      </c>
      <c r="E595" s="4">
        <v>1186.99</v>
      </c>
      <c r="F595" s="4">
        <v>203.52</v>
      </c>
      <c r="G595" s="4">
        <v>399.02</v>
      </c>
      <c r="H595" s="4">
        <v>1789.53</v>
      </c>
      <c r="I595" s="5">
        <v>23.39</v>
      </c>
      <c r="J595" s="5">
        <v>801.71</v>
      </c>
      <c r="K595" s="4">
        <v>2614.63</v>
      </c>
      <c r="L595" s="5">
        <v>557.51</v>
      </c>
      <c r="M595" s="4">
        <v>386.08</v>
      </c>
      <c r="N595" s="4">
        <v>47.58</v>
      </c>
      <c r="O595" s="5">
        <v>433.66</v>
      </c>
      <c r="P595" s="4">
        <v>123.85</v>
      </c>
      <c r="Q595" s="6">
        <v>77.78515183584153</v>
      </c>
      <c r="R595" s="20"/>
    </row>
    <row r="596" spans="1:18" ht="14.25">
      <c r="A596" s="20" t="s">
        <v>28</v>
      </c>
      <c r="B596" s="4">
        <v>66</v>
      </c>
      <c r="C596" s="4">
        <v>1.73</v>
      </c>
      <c r="D596" s="4">
        <v>67.73</v>
      </c>
      <c r="E596" s="4">
        <v>18.76</v>
      </c>
      <c r="F596" s="4">
        <v>0.61</v>
      </c>
      <c r="G596" s="4">
        <v>5.98</v>
      </c>
      <c r="H596" s="4">
        <v>25.35</v>
      </c>
      <c r="I596" s="5">
        <v>0</v>
      </c>
      <c r="J596" s="5">
        <v>5.16</v>
      </c>
      <c r="K596" s="4">
        <v>30.51</v>
      </c>
      <c r="L596" s="5">
        <v>37.22</v>
      </c>
      <c r="M596" s="4">
        <v>26.97</v>
      </c>
      <c r="N596" s="4">
        <v>1.87</v>
      </c>
      <c r="O596" s="5">
        <v>28.84</v>
      </c>
      <c r="P596" s="4">
        <v>8.38</v>
      </c>
      <c r="Q596" s="6">
        <v>77.48522299838797</v>
      </c>
      <c r="R596" s="20"/>
    </row>
    <row r="597" spans="1:18" ht="14.25">
      <c r="A597" s="20" t="s">
        <v>29</v>
      </c>
      <c r="B597" s="4">
        <v>7.09</v>
      </c>
      <c r="C597" s="4">
        <v>0.19</v>
      </c>
      <c r="D597" s="4">
        <v>7.28</v>
      </c>
      <c r="E597" s="4">
        <v>1.74</v>
      </c>
      <c r="F597" s="4">
        <v>2.22</v>
      </c>
      <c r="G597" s="4">
        <v>0.18</v>
      </c>
      <c r="H597" s="4">
        <v>4.14</v>
      </c>
      <c r="I597" s="5">
        <v>0</v>
      </c>
      <c r="J597" s="5">
        <v>0.05</v>
      </c>
      <c r="K597" s="4">
        <v>4.19</v>
      </c>
      <c r="L597" s="5">
        <v>3.09</v>
      </c>
      <c r="M597" s="4">
        <v>2.04</v>
      </c>
      <c r="N597" s="4">
        <v>0.37</v>
      </c>
      <c r="O597" s="5">
        <v>2.41</v>
      </c>
      <c r="P597" s="4">
        <v>0.68</v>
      </c>
      <c r="Q597" s="6">
        <v>77.99352750809062</v>
      </c>
      <c r="R597" s="20"/>
    </row>
    <row r="598" spans="1:18" ht="14.25">
      <c r="A598" s="20" t="s">
        <v>30</v>
      </c>
      <c r="B598" s="4">
        <v>752.38</v>
      </c>
      <c r="C598" s="4">
        <v>10.3</v>
      </c>
      <c r="D598" s="4">
        <v>762.68</v>
      </c>
      <c r="E598" s="4">
        <v>210.34</v>
      </c>
      <c r="F598" s="4">
        <v>59.79</v>
      </c>
      <c r="G598" s="4">
        <v>0.63</v>
      </c>
      <c r="H598" s="4">
        <v>270.76</v>
      </c>
      <c r="I598" s="5">
        <v>12.7</v>
      </c>
      <c r="J598" s="5">
        <v>404.36</v>
      </c>
      <c r="K598" s="4">
        <v>687.82</v>
      </c>
      <c r="L598" s="5">
        <v>74.86</v>
      </c>
      <c r="M598" s="4">
        <v>56.67</v>
      </c>
      <c r="N598" s="4">
        <v>18.2</v>
      </c>
      <c r="O598" s="5">
        <v>74.87</v>
      </c>
      <c r="P598" s="6">
        <v>-0.009999999999990905</v>
      </c>
      <c r="Q598" s="6">
        <v>100.01335826876836</v>
      </c>
      <c r="R598" s="38" t="s">
        <v>83</v>
      </c>
    </row>
    <row r="599" spans="1:18" ht="14.25">
      <c r="A599" s="20" t="s">
        <v>31</v>
      </c>
      <c r="B599" s="4">
        <v>46.04</v>
      </c>
      <c r="C599" s="4">
        <v>4.24</v>
      </c>
      <c r="D599" s="4">
        <v>50.28</v>
      </c>
      <c r="E599" s="4">
        <v>5.73</v>
      </c>
      <c r="F599" s="4">
        <v>3.38</v>
      </c>
      <c r="G599" s="4">
        <v>1.3</v>
      </c>
      <c r="H599" s="4">
        <v>10.41</v>
      </c>
      <c r="I599" s="5">
        <v>0</v>
      </c>
      <c r="J599" s="5">
        <v>0</v>
      </c>
      <c r="K599" s="4">
        <v>10.41</v>
      </c>
      <c r="L599" s="5">
        <v>39.87</v>
      </c>
      <c r="M599" s="4">
        <v>33.55</v>
      </c>
      <c r="N599" s="4">
        <v>4.7</v>
      </c>
      <c r="O599" s="5">
        <v>38.25</v>
      </c>
      <c r="P599" s="4">
        <v>1.62</v>
      </c>
      <c r="Q599" s="6">
        <v>95.93679458239276</v>
      </c>
      <c r="R599" s="20"/>
    </row>
    <row r="600" spans="1:18" ht="14.25">
      <c r="A600" s="20" t="s">
        <v>32</v>
      </c>
      <c r="B600" s="4">
        <v>15.46</v>
      </c>
      <c r="C600" s="4">
        <v>4.99</v>
      </c>
      <c r="D600" s="4">
        <v>20.45</v>
      </c>
      <c r="E600" s="4">
        <v>3.14</v>
      </c>
      <c r="F600" s="4">
        <v>7.78</v>
      </c>
      <c r="G600" s="4">
        <v>0</v>
      </c>
      <c r="H600" s="4">
        <v>10.92</v>
      </c>
      <c r="I600" s="5">
        <v>0</v>
      </c>
      <c r="J600" s="5">
        <v>0.4</v>
      </c>
      <c r="K600" s="4">
        <v>11.32</v>
      </c>
      <c r="L600" s="5">
        <v>9.13</v>
      </c>
      <c r="M600" s="4">
        <v>3.88</v>
      </c>
      <c r="N600" s="4">
        <v>4.99</v>
      </c>
      <c r="O600" s="5">
        <v>8.87</v>
      </c>
      <c r="P600" s="4">
        <v>0.26000000000000156</v>
      </c>
      <c r="Q600" s="6">
        <v>97.15224534501641</v>
      </c>
      <c r="R600" s="20"/>
    </row>
    <row r="601" spans="1:18" ht="14.25">
      <c r="A601" s="20" t="s">
        <v>33</v>
      </c>
      <c r="B601" s="4">
        <v>1985.02</v>
      </c>
      <c r="C601" s="4">
        <v>19.32</v>
      </c>
      <c r="D601" s="4">
        <v>2004.34</v>
      </c>
      <c r="E601" s="4">
        <v>1270.42</v>
      </c>
      <c r="F601" s="4">
        <v>273.07</v>
      </c>
      <c r="G601" s="4">
        <v>202.73</v>
      </c>
      <c r="H601" s="4">
        <v>1746.22</v>
      </c>
      <c r="I601" s="5">
        <v>12.67</v>
      </c>
      <c r="J601" s="5">
        <v>28.8</v>
      </c>
      <c r="K601" s="4">
        <v>1787.69</v>
      </c>
      <c r="L601" s="5">
        <v>216.65</v>
      </c>
      <c r="M601" s="4">
        <v>127.95</v>
      </c>
      <c r="N601" s="4">
        <v>39.84</v>
      </c>
      <c r="O601" s="5">
        <v>167.79</v>
      </c>
      <c r="P601" s="4">
        <v>48.85999999999984</v>
      </c>
      <c r="Q601" s="6">
        <v>77.44749596122784</v>
      </c>
      <c r="R601" s="20"/>
    </row>
    <row r="602" spans="1:18" ht="14.25">
      <c r="A602" s="20" t="s">
        <v>34</v>
      </c>
      <c r="B602" s="4">
        <v>19.39</v>
      </c>
      <c r="C602" s="4">
        <v>1.85</v>
      </c>
      <c r="D602" s="4">
        <v>21.24</v>
      </c>
      <c r="E602" s="4">
        <v>1.49</v>
      </c>
      <c r="F602" s="4">
        <v>1.07</v>
      </c>
      <c r="G602" s="4">
        <v>0.05</v>
      </c>
      <c r="H602" s="4">
        <v>2.61</v>
      </c>
      <c r="I602" s="5">
        <v>0</v>
      </c>
      <c r="J602" s="5">
        <v>0.65</v>
      </c>
      <c r="K602" s="4">
        <v>3.26</v>
      </c>
      <c r="L602" s="5">
        <v>17.98</v>
      </c>
      <c r="M602" s="4">
        <v>5.28</v>
      </c>
      <c r="N602" s="4">
        <v>1.92</v>
      </c>
      <c r="O602" s="5">
        <v>7.2</v>
      </c>
      <c r="P602" s="4">
        <v>10.78</v>
      </c>
      <c r="Q602" s="6">
        <v>40.04449388209122</v>
      </c>
      <c r="R602" s="20"/>
    </row>
    <row r="603" spans="1:18" ht="15">
      <c r="A603" s="21" t="s">
        <v>35</v>
      </c>
      <c r="B603" s="8">
        <v>10814.73</v>
      </c>
      <c r="C603" s="8">
        <v>110.18</v>
      </c>
      <c r="D603" s="8">
        <v>10924.91</v>
      </c>
      <c r="E603" s="8">
        <v>5263.52</v>
      </c>
      <c r="F603" s="8">
        <v>1684.24</v>
      </c>
      <c r="G603" s="8">
        <v>979.38</v>
      </c>
      <c r="H603" s="8">
        <v>7927.14</v>
      </c>
      <c r="I603" s="9">
        <v>244.75</v>
      </c>
      <c r="J603" s="9">
        <v>1329</v>
      </c>
      <c r="K603" s="8">
        <v>9500.89</v>
      </c>
      <c r="L603" s="9">
        <v>1424.02</v>
      </c>
      <c r="M603" s="8">
        <v>938.03</v>
      </c>
      <c r="N603" s="8">
        <v>216.31</v>
      </c>
      <c r="O603" s="9">
        <v>1154.34</v>
      </c>
      <c r="P603" s="8">
        <v>269.6799999999987</v>
      </c>
      <c r="Q603" s="22">
        <v>81.06206373505998</v>
      </c>
      <c r="R603" s="20"/>
    </row>
    <row r="604" spans="1:18" ht="15">
      <c r="A604" s="53"/>
      <c r="B604" s="14"/>
      <c r="C604" s="14"/>
      <c r="D604" s="14"/>
      <c r="E604" s="14"/>
      <c r="F604" s="14"/>
      <c r="G604" s="14"/>
      <c r="H604" s="14"/>
      <c r="I604" s="15"/>
      <c r="J604" s="15"/>
      <c r="K604" s="14"/>
      <c r="L604" s="15"/>
      <c r="M604" s="14"/>
      <c r="N604" s="14"/>
      <c r="O604" s="15"/>
      <c r="P604" s="14"/>
      <c r="Q604" s="46"/>
      <c r="R604" s="54"/>
    </row>
    <row r="605" spans="1:18" ht="18">
      <c r="A605" s="157" t="s">
        <v>84</v>
      </c>
      <c r="B605" s="157"/>
      <c r="C605" s="157"/>
      <c r="D605" s="157"/>
      <c r="E605" s="157"/>
      <c r="F605" s="157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  <c r="Q605" s="157"/>
      <c r="R605" s="54"/>
    </row>
    <row r="606" spans="1:18" ht="18">
      <c r="A606" s="157" t="s">
        <v>112</v>
      </c>
      <c r="B606" s="157"/>
      <c r="C606" s="157"/>
      <c r="D606" s="157"/>
      <c r="E606" s="157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57"/>
      <c r="R606" s="54"/>
    </row>
    <row r="607" spans="1:18" ht="15.75">
      <c r="A607" s="158" t="s">
        <v>2</v>
      </c>
      <c r="B607" s="158"/>
      <c r="C607" s="158"/>
      <c r="D607" s="158"/>
      <c r="E607" s="158"/>
      <c r="F607" s="15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54"/>
    </row>
    <row r="608" spans="1:18" ht="12.75">
      <c r="A608" s="147" t="s">
        <v>3</v>
      </c>
      <c r="B608" s="153" t="s">
        <v>4</v>
      </c>
      <c r="C608" s="153" t="s">
        <v>5</v>
      </c>
      <c r="D608" s="153" t="s">
        <v>6</v>
      </c>
      <c r="E608" s="152" t="s">
        <v>7</v>
      </c>
      <c r="F608" s="152"/>
      <c r="G608" s="152"/>
      <c r="H608" s="147" t="s">
        <v>8</v>
      </c>
      <c r="I608" s="146" t="s">
        <v>9</v>
      </c>
      <c r="J608" s="146" t="s">
        <v>38</v>
      </c>
      <c r="K608" s="150" t="s">
        <v>11</v>
      </c>
      <c r="L608" s="146" t="s">
        <v>39</v>
      </c>
      <c r="M608" s="147" t="s">
        <v>13</v>
      </c>
      <c r="N608" s="147" t="s">
        <v>14</v>
      </c>
      <c r="O608" s="146" t="s">
        <v>15</v>
      </c>
      <c r="P608" s="147" t="s">
        <v>16</v>
      </c>
      <c r="Q608" s="147" t="s">
        <v>17</v>
      </c>
      <c r="R608" s="148" t="s">
        <v>82</v>
      </c>
    </row>
    <row r="609" spans="1:18" ht="67.5" customHeight="1">
      <c r="A609" s="147"/>
      <c r="B609" s="155"/>
      <c r="C609" s="156"/>
      <c r="D609" s="154"/>
      <c r="E609" s="19" t="s">
        <v>18</v>
      </c>
      <c r="F609" s="19" t="s">
        <v>19</v>
      </c>
      <c r="G609" s="19" t="s">
        <v>20</v>
      </c>
      <c r="H609" s="159"/>
      <c r="I609" s="146"/>
      <c r="J609" s="146"/>
      <c r="K609" s="151"/>
      <c r="L609" s="146"/>
      <c r="M609" s="147"/>
      <c r="N609" s="147"/>
      <c r="O609" s="146"/>
      <c r="P609" s="147"/>
      <c r="Q609" s="147"/>
      <c r="R609" s="149"/>
    </row>
    <row r="610" spans="1:18" ht="14.25">
      <c r="A610" s="20" t="s">
        <v>21</v>
      </c>
      <c r="B610" s="4">
        <v>1647.34</v>
      </c>
      <c r="C610" s="4">
        <v>131.59</v>
      </c>
      <c r="D610" s="4">
        <v>1778.93</v>
      </c>
      <c r="E610" s="4">
        <v>20.94</v>
      </c>
      <c r="F610" s="4">
        <v>411.43</v>
      </c>
      <c r="G610" s="4">
        <v>1.29</v>
      </c>
      <c r="H610" s="4">
        <v>433.66</v>
      </c>
      <c r="I610" s="5">
        <v>85.48</v>
      </c>
      <c r="J610" s="5">
        <v>434.24</v>
      </c>
      <c r="K610" s="4">
        <v>953.38</v>
      </c>
      <c r="L610" s="5">
        <v>825.55</v>
      </c>
      <c r="M610" s="4">
        <v>479.48</v>
      </c>
      <c r="N610" s="4">
        <v>182.99</v>
      </c>
      <c r="O610" s="5">
        <v>662.47</v>
      </c>
      <c r="P610" s="4">
        <v>163.08</v>
      </c>
      <c r="Q610" s="6">
        <v>80.24589667494399</v>
      </c>
      <c r="R610" s="20"/>
    </row>
    <row r="611" spans="1:18" ht="14.25">
      <c r="A611" s="20" t="s">
        <v>22</v>
      </c>
      <c r="B611" s="4">
        <v>3379.34</v>
      </c>
      <c r="C611" s="4">
        <v>391.7</v>
      </c>
      <c r="D611" s="4">
        <v>3771.04</v>
      </c>
      <c r="E611" s="4">
        <v>34.31</v>
      </c>
      <c r="F611" s="4">
        <v>1706.88</v>
      </c>
      <c r="G611" s="4">
        <v>0</v>
      </c>
      <c r="H611" s="4">
        <v>1741.19</v>
      </c>
      <c r="I611" s="5">
        <v>18.3</v>
      </c>
      <c r="J611" s="5">
        <v>748.56</v>
      </c>
      <c r="K611" s="4">
        <v>2508.05</v>
      </c>
      <c r="L611" s="5">
        <v>1262.99</v>
      </c>
      <c r="M611" s="4">
        <v>715.07</v>
      </c>
      <c r="N611" s="4">
        <v>243.72</v>
      </c>
      <c r="O611" s="5">
        <v>958.79</v>
      </c>
      <c r="P611" s="4">
        <v>304.2</v>
      </c>
      <c r="Q611" s="6">
        <v>75.91429860885678</v>
      </c>
      <c r="R611" s="20"/>
    </row>
    <row r="612" spans="1:18" ht="14.25">
      <c r="A612" s="20" t="s">
        <v>23</v>
      </c>
      <c r="B612" s="4">
        <v>718.57</v>
      </c>
      <c r="C612" s="4">
        <v>106.86</v>
      </c>
      <c r="D612" s="4">
        <v>825.43</v>
      </c>
      <c r="E612" s="4">
        <v>63.16</v>
      </c>
      <c r="F612" s="4">
        <v>237.95</v>
      </c>
      <c r="G612" s="4">
        <v>18.24</v>
      </c>
      <c r="H612" s="4">
        <v>319.35</v>
      </c>
      <c r="I612" s="5">
        <v>13.75</v>
      </c>
      <c r="J612" s="5">
        <v>41.91</v>
      </c>
      <c r="K612" s="4">
        <v>375.01</v>
      </c>
      <c r="L612" s="5">
        <v>450.42</v>
      </c>
      <c r="M612" s="4">
        <v>280.51</v>
      </c>
      <c r="N612" s="4">
        <v>93.54</v>
      </c>
      <c r="O612" s="5">
        <v>374.05</v>
      </c>
      <c r="P612" s="4">
        <v>76.37000000000006</v>
      </c>
      <c r="Q612" s="6">
        <v>83.0447138226544</v>
      </c>
      <c r="R612" s="20"/>
    </row>
    <row r="613" spans="1:18" ht="14.25">
      <c r="A613" s="20" t="s">
        <v>24</v>
      </c>
      <c r="B613" s="4">
        <v>1622.47</v>
      </c>
      <c r="C613" s="4">
        <v>76.95</v>
      </c>
      <c r="D613" s="4">
        <v>1699.42</v>
      </c>
      <c r="E613" s="4">
        <v>225.04</v>
      </c>
      <c r="F613" s="4">
        <v>666.43</v>
      </c>
      <c r="G613" s="4">
        <v>2.74</v>
      </c>
      <c r="H613" s="4">
        <v>894.21</v>
      </c>
      <c r="I613" s="5">
        <v>29.26</v>
      </c>
      <c r="J613" s="5">
        <v>142.14</v>
      </c>
      <c r="K613" s="4">
        <v>1065.61</v>
      </c>
      <c r="L613" s="5">
        <v>633.81</v>
      </c>
      <c r="M613" s="4">
        <v>397.06</v>
      </c>
      <c r="N613" s="4">
        <v>124.11</v>
      </c>
      <c r="O613" s="5">
        <v>521.17</v>
      </c>
      <c r="P613" s="4">
        <v>112.64</v>
      </c>
      <c r="Q613" s="6">
        <v>82.2281125258358</v>
      </c>
      <c r="R613" s="20"/>
    </row>
    <row r="614" spans="1:18" ht="14.25">
      <c r="A614" s="20" t="s">
        <v>25</v>
      </c>
      <c r="B614" s="4">
        <v>1712.94</v>
      </c>
      <c r="C614" s="4">
        <v>52.29</v>
      </c>
      <c r="D614" s="4">
        <v>1765.23</v>
      </c>
      <c r="E614" s="4">
        <v>34.81</v>
      </c>
      <c r="F614" s="4">
        <v>792.33</v>
      </c>
      <c r="G614" s="4">
        <v>8.79</v>
      </c>
      <c r="H614" s="4">
        <v>835.93</v>
      </c>
      <c r="I614" s="5">
        <v>35.92</v>
      </c>
      <c r="J614" s="5">
        <v>317.86</v>
      </c>
      <c r="K614" s="4">
        <v>1189.71</v>
      </c>
      <c r="L614" s="5">
        <v>575.52</v>
      </c>
      <c r="M614" s="4">
        <v>393.67</v>
      </c>
      <c r="N614" s="4">
        <v>106.99</v>
      </c>
      <c r="O614" s="5">
        <v>500.66</v>
      </c>
      <c r="P614" s="4">
        <v>74.86</v>
      </c>
      <c r="Q614" s="6">
        <v>86.99263274951349</v>
      </c>
      <c r="R614" s="20"/>
    </row>
    <row r="615" spans="1:18" ht="14.25">
      <c r="A615" s="20" t="s">
        <v>26</v>
      </c>
      <c r="B615" s="4">
        <v>593.66</v>
      </c>
      <c r="C615" s="4">
        <v>10.01</v>
      </c>
      <c r="D615" s="4">
        <v>603.67</v>
      </c>
      <c r="E615" s="4">
        <v>52.7</v>
      </c>
      <c r="F615" s="4">
        <v>204.5</v>
      </c>
      <c r="G615" s="4">
        <v>0</v>
      </c>
      <c r="H615" s="4">
        <v>257.2</v>
      </c>
      <c r="I615" s="5">
        <v>0</v>
      </c>
      <c r="J615" s="5">
        <v>155.38</v>
      </c>
      <c r="K615" s="4">
        <v>412.58</v>
      </c>
      <c r="L615" s="5">
        <v>191.09</v>
      </c>
      <c r="M615" s="4">
        <v>98.82</v>
      </c>
      <c r="N615" s="4">
        <v>36.23</v>
      </c>
      <c r="O615" s="5">
        <v>135.05</v>
      </c>
      <c r="P615" s="4">
        <v>56.04</v>
      </c>
      <c r="Q615" s="6">
        <v>70.67350463132556</v>
      </c>
      <c r="R615" s="20"/>
    </row>
    <row r="616" spans="1:18" ht="14.25">
      <c r="A616" s="20" t="s">
        <v>27</v>
      </c>
      <c r="B616" s="4">
        <v>2903.98</v>
      </c>
      <c r="C616" s="4">
        <v>117.11</v>
      </c>
      <c r="D616" s="4">
        <v>3021.09</v>
      </c>
      <c r="E616" s="4">
        <v>176.77</v>
      </c>
      <c r="F616" s="4">
        <v>926.84</v>
      </c>
      <c r="G616" s="4">
        <v>31.35</v>
      </c>
      <c r="H616" s="4">
        <v>1134.96</v>
      </c>
      <c r="I616" s="5">
        <v>22.13</v>
      </c>
      <c r="J616" s="5">
        <v>215.96</v>
      </c>
      <c r="K616" s="4">
        <v>1373.05</v>
      </c>
      <c r="L616" s="5">
        <v>1648.04</v>
      </c>
      <c r="M616" s="4">
        <v>358.48</v>
      </c>
      <c r="N616" s="4">
        <v>128.87</v>
      </c>
      <c r="O616" s="5">
        <v>487.35</v>
      </c>
      <c r="P616" s="4">
        <v>1160.69</v>
      </c>
      <c r="Q616" s="6">
        <v>29.571490983228564</v>
      </c>
      <c r="R616" s="20"/>
    </row>
    <row r="617" spans="1:18" ht="14.25">
      <c r="A617" s="20" t="s">
        <v>28</v>
      </c>
      <c r="B617" s="4">
        <v>1515.45</v>
      </c>
      <c r="C617" s="4">
        <v>49.53</v>
      </c>
      <c r="D617" s="4">
        <v>1564.98</v>
      </c>
      <c r="E617" s="4">
        <v>111.1</v>
      </c>
      <c r="F617" s="4">
        <v>214.69</v>
      </c>
      <c r="G617" s="4">
        <v>50.02</v>
      </c>
      <c r="H617" s="4">
        <v>375.81</v>
      </c>
      <c r="I617" s="5">
        <v>56.07</v>
      </c>
      <c r="J617" s="5">
        <v>79.44</v>
      </c>
      <c r="K617" s="4">
        <v>511.32</v>
      </c>
      <c r="L617" s="5">
        <v>1053.66</v>
      </c>
      <c r="M617" s="4">
        <v>407.74</v>
      </c>
      <c r="N617" s="4">
        <v>101.14</v>
      </c>
      <c r="O617" s="5">
        <v>508.88</v>
      </c>
      <c r="P617" s="4">
        <v>544.78</v>
      </c>
      <c r="Q617" s="6">
        <v>48.29641440312814</v>
      </c>
      <c r="R617" s="20"/>
    </row>
    <row r="618" spans="1:18" ht="14.25">
      <c r="A618" s="20" t="s">
        <v>29</v>
      </c>
      <c r="B618" s="4">
        <v>2657.78</v>
      </c>
      <c r="C618" s="4">
        <v>212.77</v>
      </c>
      <c r="D618" s="4">
        <v>2870.55</v>
      </c>
      <c r="E618" s="4">
        <v>77.58</v>
      </c>
      <c r="F618" s="4">
        <v>815.99</v>
      </c>
      <c r="G618" s="4">
        <v>43.38</v>
      </c>
      <c r="H618" s="4">
        <v>936.95</v>
      </c>
      <c r="I618" s="5">
        <v>6.42</v>
      </c>
      <c r="J618" s="5">
        <v>981.46</v>
      </c>
      <c r="K618" s="4">
        <v>1924.83</v>
      </c>
      <c r="L618" s="5">
        <v>945.72</v>
      </c>
      <c r="M618" s="4">
        <v>469.27</v>
      </c>
      <c r="N618" s="4">
        <v>124.07</v>
      </c>
      <c r="O618" s="5">
        <v>593.34</v>
      </c>
      <c r="P618" s="4">
        <v>352.38</v>
      </c>
      <c r="Q618" s="6">
        <v>62.7395000634437</v>
      </c>
      <c r="R618" s="20"/>
    </row>
    <row r="619" spans="1:18" ht="14.25">
      <c r="A619" s="20" t="s">
        <v>30</v>
      </c>
      <c r="B619" s="4">
        <v>1208.96</v>
      </c>
      <c r="C619" s="4">
        <v>42.71</v>
      </c>
      <c r="D619" s="4">
        <v>1251.67</v>
      </c>
      <c r="E619" s="4">
        <v>7.67</v>
      </c>
      <c r="F619" s="4">
        <v>409.17</v>
      </c>
      <c r="G619" s="4">
        <v>4.19</v>
      </c>
      <c r="H619" s="4">
        <v>421.03</v>
      </c>
      <c r="I619" s="5">
        <v>8</v>
      </c>
      <c r="J619" s="5">
        <v>502.58</v>
      </c>
      <c r="K619" s="4">
        <v>931.61</v>
      </c>
      <c r="L619" s="5">
        <v>320.06</v>
      </c>
      <c r="M619" s="4">
        <v>220.7</v>
      </c>
      <c r="N619" s="4">
        <v>87.55</v>
      </c>
      <c r="O619" s="5">
        <v>308.25</v>
      </c>
      <c r="P619" s="4">
        <v>11.81000000000006</v>
      </c>
      <c r="Q619" s="6">
        <v>96.31006686246327</v>
      </c>
      <c r="R619" s="20"/>
    </row>
    <row r="620" spans="1:18" ht="14.25">
      <c r="A620" s="20" t="s">
        <v>31</v>
      </c>
      <c r="B620" s="4">
        <v>916.2</v>
      </c>
      <c r="C620" s="4">
        <v>25.31</v>
      </c>
      <c r="D620" s="4">
        <v>941.51</v>
      </c>
      <c r="E620" s="4">
        <v>76.19</v>
      </c>
      <c r="F620" s="4">
        <v>373.47</v>
      </c>
      <c r="G620" s="4">
        <v>10.97</v>
      </c>
      <c r="H620" s="4">
        <v>460.63</v>
      </c>
      <c r="I620" s="5">
        <v>0</v>
      </c>
      <c r="J620" s="5">
        <v>89.62</v>
      </c>
      <c r="K620" s="4">
        <v>550.25</v>
      </c>
      <c r="L620" s="5">
        <v>391.26</v>
      </c>
      <c r="M620" s="4">
        <v>211.51</v>
      </c>
      <c r="N620" s="4">
        <v>120.51</v>
      </c>
      <c r="O620" s="5">
        <v>332.02</v>
      </c>
      <c r="P620" s="4">
        <v>59.24</v>
      </c>
      <c r="Q620" s="6">
        <v>84.85917292848745</v>
      </c>
      <c r="R620" s="20"/>
    </row>
    <row r="621" spans="1:18" ht="14.25">
      <c r="A621" s="20" t="s">
        <v>32</v>
      </c>
      <c r="B621" s="4">
        <v>503.56</v>
      </c>
      <c r="C621" s="4">
        <v>29.56</v>
      </c>
      <c r="D621" s="4">
        <v>533.12</v>
      </c>
      <c r="E621" s="4">
        <v>0.26</v>
      </c>
      <c r="F621" s="4">
        <v>287.88</v>
      </c>
      <c r="G621" s="4">
        <v>0</v>
      </c>
      <c r="H621" s="4">
        <v>288.14</v>
      </c>
      <c r="I621" s="5">
        <v>0</v>
      </c>
      <c r="J621" s="5">
        <v>151.01</v>
      </c>
      <c r="K621" s="4">
        <v>439.15</v>
      </c>
      <c r="L621" s="5">
        <v>93.97</v>
      </c>
      <c r="M621" s="4">
        <v>29.77</v>
      </c>
      <c r="N621" s="4">
        <v>46.93</v>
      </c>
      <c r="O621" s="5">
        <v>76.7</v>
      </c>
      <c r="P621" s="4">
        <v>17.27</v>
      </c>
      <c r="Q621" s="6">
        <v>81.62179418963497</v>
      </c>
      <c r="R621" s="20"/>
    </row>
    <row r="622" spans="1:18" ht="14.25">
      <c r="A622" s="20" t="s">
        <v>33</v>
      </c>
      <c r="B622" s="4">
        <v>977.82</v>
      </c>
      <c r="C622" s="4">
        <v>29.62</v>
      </c>
      <c r="D622" s="4">
        <v>1007.44</v>
      </c>
      <c r="E622" s="4">
        <v>85.16</v>
      </c>
      <c r="F622" s="4">
        <v>469.91</v>
      </c>
      <c r="G622" s="4">
        <v>0</v>
      </c>
      <c r="H622" s="4">
        <v>555.07</v>
      </c>
      <c r="I622" s="5">
        <v>0</v>
      </c>
      <c r="J622" s="5">
        <v>142.22</v>
      </c>
      <c r="K622" s="4">
        <v>697.29</v>
      </c>
      <c r="L622" s="5">
        <v>310.15</v>
      </c>
      <c r="M622" s="4">
        <v>107.81</v>
      </c>
      <c r="N622" s="4">
        <v>61.78</v>
      </c>
      <c r="O622" s="5">
        <v>169.59</v>
      </c>
      <c r="P622" s="4">
        <v>140.56</v>
      </c>
      <c r="Q622" s="6">
        <v>54.679993551507344</v>
      </c>
      <c r="R622" s="20"/>
    </row>
    <row r="623" spans="1:18" ht="14.25">
      <c r="A623" s="20" t="s">
        <v>34</v>
      </c>
      <c r="B623" s="4">
        <v>788.96</v>
      </c>
      <c r="C623" s="4">
        <v>1.61</v>
      </c>
      <c r="D623" s="4">
        <v>790.57</v>
      </c>
      <c r="E623" s="4">
        <v>63.05</v>
      </c>
      <c r="F623" s="4">
        <v>279.85</v>
      </c>
      <c r="G623" s="4">
        <v>0</v>
      </c>
      <c r="H623" s="4">
        <v>342.9</v>
      </c>
      <c r="I623" s="5">
        <v>5.55</v>
      </c>
      <c r="J623" s="5">
        <v>230.01</v>
      </c>
      <c r="K623" s="4">
        <v>578.46</v>
      </c>
      <c r="L623" s="5">
        <v>212.11</v>
      </c>
      <c r="M623" s="4">
        <v>36.84</v>
      </c>
      <c r="N623" s="4">
        <v>21.64</v>
      </c>
      <c r="O623" s="5">
        <v>58.48</v>
      </c>
      <c r="P623" s="4">
        <v>153.63</v>
      </c>
      <c r="Q623" s="6">
        <v>27.57060016029419</v>
      </c>
      <c r="R623" s="20"/>
    </row>
    <row r="624" spans="1:18" ht="15">
      <c r="A624" s="21" t="s">
        <v>35</v>
      </c>
      <c r="B624" s="8">
        <v>21147.03</v>
      </c>
      <c r="C624" s="8">
        <v>1277.62</v>
      </c>
      <c r="D624" s="8">
        <v>22424.65</v>
      </c>
      <c r="E624" s="8">
        <v>1028.74</v>
      </c>
      <c r="F624" s="8">
        <v>7797.32</v>
      </c>
      <c r="G624" s="8">
        <v>170.97</v>
      </c>
      <c r="H624" s="8">
        <v>8997.03</v>
      </c>
      <c r="I624" s="9">
        <v>280.88</v>
      </c>
      <c r="J624" s="9">
        <v>4232.39</v>
      </c>
      <c r="K624" s="8">
        <v>13510.3</v>
      </c>
      <c r="L624" s="9">
        <v>8914.35</v>
      </c>
      <c r="M624" s="8">
        <v>4206.73</v>
      </c>
      <c r="N624" s="8">
        <v>1480.07</v>
      </c>
      <c r="O624" s="9">
        <v>5686.8</v>
      </c>
      <c r="P624" s="8">
        <v>3227.55</v>
      </c>
      <c r="Q624" s="22">
        <v>63.793770717999635</v>
      </c>
      <c r="R624" s="20"/>
    </row>
    <row r="625" spans="1:18" ht="15">
      <c r="A625" s="53"/>
      <c r="B625" s="14"/>
      <c r="C625" s="14"/>
      <c r="D625" s="14"/>
      <c r="E625" s="14"/>
      <c r="F625" s="14"/>
      <c r="G625" s="14"/>
      <c r="H625" s="14"/>
      <c r="I625" s="15"/>
      <c r="J625" s="15"/>
      <c r="K625" s="14"/>
      <c r="L625" s="15"/>
      <c r="M625" s="14"/>
      <c r="N625" s="14"/>
      <c r="O625" s="15"/>
      <c r="P625" s="14"/>
      <c r="Q625" s="46"/>
      <c r="R625" s="54"/>
    </row>
    <row r="626" spans="1:17" ht="18">
      <c r="A626" s="157" t="s">
        <v>84</v>
      </c>
      <c r="B626" s="157"/>
      <c r="C626" s="157"/>
      <c r="D626" s="157"/>
      <c r="E626" s="157"/>
      <c r="F626" s="157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  <c r="Q626" s="157"/>
    </row>
    <row r="627" spans="1:17" ht="18">
      <c r="A627" s="157" t="s">
        <v>113</v>
      </c>
      <c r="B627" s="157"/>
      <c r="C627" s="157"/>
      <c r="D627" s="157"/>
      <c r="E627" s="157"/>
      <c r="F627" s="157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  <c r="Q627" s="157"/>
    </row>
    <row r="628" spans="1:17" ht="15.75">
      <c r="A628" s="158" t="s">
        <v>2</v>
      </c>
      <c r="B628" s="158"/>
      <c r="C628" s="158"/>
      <c r="D628" s="158"/>
      <c r="E628" s="158"/>
      <c r="F628" s="15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</row>
    <row r="629" spans="1:18" ht="12.75">
      <c r="A629" s="147" t="s">
        <v>3</v>
      </c>
      <c r="B629" s="153" t="s">
        <v>4</v>
      </c>
      <c r="C629" s="153" t="s">
        <v>5</v>
      </c>
      <c r="D629" s="153" t="s">
        <v>6</v>
      </c>
      <c r="E629" s="152" t="s">
        <v>7</v>
      </c>
      <c r="F629" s="152"/>
      <c r="G629" s="152"/>
      <c r="H629" s="153" t="s">
        <v>8</v>
      </c>
      <c r="I629" s="146" t="s">
        <v>9</v>
      </c>
      <c r="J629" s="146" t="s">
        <v>38</v>
      </c>
      <c r="K629" s="150" t="s">
        <v>11</v>
      </c>
      <c r="L629" s="146" t="s">
        <v>39</v>
      </c>
      <c r="M629" s="147" t="s">
        <v>13</v>
      </c>
      <c r="N629" s="147" t="s">
        <v>14</v>
      </c>
      <c r="O629" s="146" t="s">
        <v>15</v>
      </c>
      <c r="P629" s="147" t="s">
        <v>16</v>
      </c>
      <c r="Q629" s="147" t="s">
        <v>17</v>
      </c>
      <c r="R629" s="148" t="s">
        <v>82</v>
      </c>
    </row>
    <row r="630" spans="1:18" ht="67.5" customHeight="1">
      <c r="A630" s="147"/>
      <c r="B630" s="155"/>
      <c r="C630" s="156"/>
      <c r="D630" s="154"/>
      <c r="E630" s="19" t="s">
        <v>18</v>
      </c>
      <c r="F630" s="19" t="s">
        <v>19</v>
      </c>
      <c r="G630" s="19" t="s">
        <v>20</v>
      </c>
      <c r="H630" s="154"/>
      <c r="I630" s="146"/>
      <c r="J630" s="146"/>
      <c r="K630" s="151"/>
      <c r="L630" s="146"/>
      <c r="M630" s="147"/>
      <c r="N630" s="147"/>
      <c r="O630" s="146"/>
      <c r="P630" s="147"/>
      <c r="Q630" s="147"/>
      <c r="R630" s="149"/>
    </row>
    <row r="631" spans="1:18" ht="14.25">
      <c r="A631" s="20" t="s">
        <v>21</v>
      </c>
      <c r="B631" s="40">
        <v>2796.04</v>
      </c>
      <c r="C631" s="40">
        <v>150.56</v>
      </c>
      <c r="D631" s="40">
        <v>2946.6</v>
      </c>
      <c r="E631" s="40">
        <v>202.41</v>
      </c>
      <c r="F631" s="40">
        <v>821.66</v>
      </c>
      <c r="G631" s="40">
        <v>3.35</v>
      </c>
      <c r="H631" s="40">
        <v>1027.42</v>
      </c>
      <c r="I631" s="40">
        <v>67.18</v>
      </c>
      <c r="J631" s="40">
        <v>1099</v>
      </c>
      <c r="K631" s="40">
        <v>2193.6</v>
      </c>
      <c r="L631" s="40">
        <v>753</v>
      </c>
      <c r="M631" s="40">
        <v>373.46</v>
      </c>
      <c r="N631" s="40">
        <v>239.33</v>
      </c>
      <c r="O631" s="40">
        <v>612.79</v>
      </c>
      <c r="P631" s="40">
        <v>140.21</v>
      </c>
      <c r="Q631" s="6">
        <v>81.37981407702529</v>
      </c>
      <c r="R631" s="20"/>
    </row>
    <row r="632" spans="1:18" ht="14.25">
      <c r="A632" s="20" t="s">
        <v>22</v>
      </c>
      <c r="B632" s="40">
        <v>2711.76</v>
      </c>
      <c r="C632" s="40">
        <v>43.87</v>
      </c>
      <c r="D632" s="40">
        <v>2755.63</v>
      </c>
      <c r="E632" s="40">
        <v>142.07</v>
      </c>
      <c r="F632" s="40">
        <v>560.13</v>
      </c>
      <c r="G632" s="40">
        <v>3.01</v>
      </c>
      <c r="H632" s="40">
        <v>705.21</v>
      </c>
      <c r="I632" s="40">
        <v>1416.38</v>
      </c>
      <c r="J632" s="40">
        <v>161.79</v>
      </c>
      <c r="K632" s="40">
        <v>2283.38</v>
      </c>
      <c r="L632" s="40">
        <v>472.25</v>
      </c>
      <c r="M632" s="40">
        <v>280.03</v>
      </c>
      <c r="N632" s="40">
        <v>104.41</v>
      </c>
      <c r="O632" s="40">
        <v>384.44</v>
      </c>
      <c r="P632" s="40">
        <v>87.81000000000006</v>
      </c>
      <c r="Q632" s="6">
        <v>81.40603493912121</v>
      </c>
      <c r="R632" s="20"/>
    </row>
    <row r="633" spans="1:18" ht="14.25">
      <c r="A633" s="20" t="s">
        <v>23</v>
      </c>
      <c r="B633" s="40">
        <v>1349.5</v>
      </c>
      <c r="C633" s="40">
        <v>11.68</v>
      </c>
      <c r="D633" s="40">
        <v>1361.18</v>
      </c>
      <c r="E633" s="40">
        <v>73.48</v>
      </c>
      <c r="F633" s="40">
        <v>15.47</v>
      </c>
      <c r="G633" s="40">
        <v>399.1</v>
      </c>
      <c r="H633" s="40">
        <v>488.05</v>
      </c>
      <c r="I633" s="40">
        <v>682.32</v>
      </c>
      <c r="J633" s="40">
        <v>39.07</v>
      </c>
      <c r="K633" s="40">
        <v>1209.44</v>
      </c>
      <c r="L633" s="40">
        <v>151.74</v>
      </c>
      <c r="M633" s="40">
        <v>81.67</v>
      </c>
      <c r="N633" s="40">
        <v>56.15</v>
      </c>
      <c r="O633" s="40">
        <v>137.82</v>
      </c>
      <c r="P633" s="40">
        <v>13.92</v>
      </c>
      <c r="Q633" s="6">
        <v>90.8264136022143</v>
      </c>
      <c r="R633" s="20"/>
    </row>
    <row r="634" spans="1:18" ht="14.25">
      <c r="A634" s="20" t="s">
        <v>24</v>
      </c>
      <c r="B634" s="40">
        <v>1440.84</v>
      </c>
      <c r="C634" s="40">
        <v>201.28</v>
      </c>
      <c r="D634" s="40">
        <v>1642.12</v>
      </c>
      <c r="E634" s="40">
        <v>430.68</v>
      </c>
      <c r="F634" s="40">
        <v>545.6</v>
      </c>
      <c r="G634" s="40">
        <v>4.25</v>
      </c>
      <c r="H634" s="40">
        <v>980.53</v>
      </c>
      <c r="I634" s="40">
        <v>1.87</v>
      </c>
      <c r="J634" s="40">
        <v>276.78</v>
      </c>
      <c r="K634" s="40">
        <v>1259.18</v>
      </c>
      <c r="L634" s="40">
        <v>382.94</v>
      </c>
      <c r="M634" s="40">
        <v>241.12</v>
      </c>
      <c r="N634" s="40">
        <v>96.2</v>
      </c>
      <c r="O634" s="40">
        <v>337.32</v>
      </c>
      <c r="P634" s="40">
        <v>45.62000000000006</v>
      </c>
      <c r="Q634" s="6">
        <v>88.08690656499711</v>
      </c>
      <c r="R634" s="20"/>
    </row>
    <row r="635" spans="1:18" ht="14.25">
      <c r="A635" s="20" t="s">
        <v>25</v>
      </c>
      <c r="B635" s="40">
        <v>1312.14</v>
      </c>
      <c r="C635" s="40">
        <v>71.84</v>
      </c>
      <c r="D635" s="40">
        <v>1383.98</v>
      </c>
      <c r="E635" s="40">
        <v>121.07</v>
      </c>
      <c r="F635" s="40">
        <v>263.42</v>
      </c>
      <c r="G635" s="40">
        <v>124.04</v>
      </c>
      <c r="H635" s="40">
        <v>508.53</v>
      </c>
      <c r="I635" s="40">
        <v>11.36</v>
      </c>
      <c r="J635" s="40">
        <v>476.2</v>
      </c>
      <c r="K635" s="40">
        <v>996.09</v>
      </c>
      <c r="L635" s="40">
        <v>387.89</v>
      </c>
      <c r="M635" s="40">
        <v>223.05</v>
      </c>
      <c r="N635" s="40">
        <v>113.01</v>
      </c>
      <c r="O635" s="40">
        <v>336.06</v>
      </c>
      <c r="P635" s="40">
        <v>51.8300000000001</v>
      </c>
      <c r="Q635" s="6">
        <v>86.63796437134236</v>
      </c>
      <c r="R635" s="20"/>
    </row>
    <row r="636" spans="1:18" ht="14.25">
      <c r="A636" s="20" t="s">
        <v>26</v>
      </c>
      <c r="B636" s="40">
        <v>602.2</v>
      </c>
      <c r="C636" s="40">
        <v>72.67</v>
      </c>
      <c r="D636" s="40">
        <v>674.87</v>
      </c>
      <c r="E636" s="40">
        <v>138.38</v>
      </c>
      <c r="F636" s="40">
        <v>172.18</v>
      </c>
      <c r="G636" s="40">
        <v>3.83</v>
      </c>
      <c r="H636" s="40">
        <v>314.39</v>
      </c>
      <c r="I636" s="40">
        <v>14.86</v>
      </c>
      <c r="J636" s="40">
        <v>109.81</v>
      </c>
      <c r="K636" s="40">
        <v>439.06</v>
      </c>
      <c r="L636" s="40">
        <v>235.81</v>
      </c>
      <c r="M636" s="40">
        <v>119.82</v>
      </c>
      <c r="N636" s="40">
        <v>94.14</v>
      </c>
      <c r="O636" s="40">
        <v>213.96</v>
      </c>
      <c r="P636" s="40">
        <v>21.85</v>
      </c>
      <c r="Q636" s="6">
        <v>90.73406556125694</v>
      </c>
      <c r="R636" s="20"/>
    </row>
    <row r="637" spans="1:18" ht="14.25">
      <c r="A637" s="20" t="s">
        <v>27</v>
      </c>
      <c r="B637" s="40">
        <v>6095.88</v>
      </c>
      <c r="C637" s="40">
        <v>121.4</v>
      </c>
      <c r="D637" s="40">
        <v>6217.28</v>
      </c>
      <c r="E637" s="40">
        <v>1476.28</v>
      </c>
      <c r="F637" s="40">
        <v>1865.76</v>
      </c>
      <c r="G637" s="40">
        <v>846.36</v>
      </c>
      <c r="H637" s="40">
        <v>4188.4</v>
      </c>
      <c r="I637" s="40">
        <v>27.86</v>
      </c>
      <c r="J637" s="40">
        <v>378.35</v>
      </c>
      <c r="K637" s="40">
        <v>4594.61</v>
      </c>
      <c r="L637" s="40">
        <v>1622.67</v>
      </c>
      <c r="M637" s="40">
        <v>403.34</v>
      </c>
      <c r="N637" s="40">
        <v>180.87</v>
      </c>
      <c r="O637" s="40">
        <v>584.21</v>
      </c>
      <c r="P637" s="40">
        <v>1038.46</v>
      </c>
      <c r="Q637" s="6">
        <v>36.00300738905631</v>
      </c>
      <c r="R637" s="20"/>
    </row>
    <row r="638" spans="1:18" ht="14.25">
      <c r="A638" s="20" t="s">
        <v>28</v>
      </c>
      <c r="B638" s="40">
        <v>2531.42</v>
      </c>
      <c r="C638" s="40">
        <v>64.72</v>
      </c>
      <c r="D638" s="40">
        <v>2596.14</v>
      </c>
      <c r="E638" s="40">
        <v>137.63</v>
      </c>
      <c r="F638" s="40">
        <v>1724.22</v>
      </c>
      <c r="G638" s="40">
        <v>45.77</v>
      </c>
      <c r="H638" s="40">
        <v>1907.62</v>
      </c>
      <c r="I638" s="40">
        <v>2.28</v>
      </c>
      <c r="J638" s="40">
        <v>38.49</v>
      </c>
      <c r="K638" s="40">
        <v>1948.39</v>
      </c>
      <c r="L638" s="40">
        <v>647.75</v>
      </c>
      <c r="M638" s="40">
        <v>323.19</v>
      </c>
      <c r="N638" s="40">
        <v>70.9</v>
      </c>
      <c r="O638" s="40">
        <v>394.09</v>
      </c>
      <c r="P638" s="40">
        <v>253.66</v>
      </c>
      <c r="Q638" s="6">
        <v>60.83983018139715</v>
      </c>
      <c r="R638" s="20"/>
    </row>
    <row r="639" spans="1:18" ht="14.25">
      <c r="A639" s="20" t="s">
        <v>29</v>
      </c>
      <c r="B639" s="40">
        <v>17873.79</v>
      </c>
      <c r="C639" s="40">
        <v>8598.24</v>
      </c>
      <c r="D639" s="40">
        <v>26472.03</v>
      </c>
      <c r="E639" s="40">
        <v>16053.43</v>
      </c>
      <c r="F639" s="40">
        <v>457.36</v>
      </c>
      <c r="G639" s="40">
        <v>559.49</v>
      </c>
      <c r="H639" s="40">
        <v>17070.28</v>
      </c>
      <c r="I639" s="40">
        <v>0</v>
      </c>
      <c r="J639" s="40">
        <v>8898.93</v>
      </c>
      <c r="K639" s="40">
        <v>25969.21</v>
      </c>
      <c r="L639" s="40">
        <v>502.82</v>
      </c>
      <c r="M639" s="40">
        <v>311.84</v>
      </c>
      <c r="N639" s="40">
        <v>29.56</v>
      </c>
      <c r="O639" s="40">
        <v>341.4</v>
      </c>
      <c r="P639" s="40">
        <v>161.42</v>
      </c>
      <c r="Q639" s="6">
        <v>67.89706057833821</v>
      </c>
      <c r="R639" s="20"/>
    </row>
    <row r="640" spans="1:18" ht="14.25">
      <c r="A640" s="20" t="s">
        <v>30</v>
      </c>
      <c r="B640" s="40">
        <v>191.03</v>
      </c>
      <c r="C640" s="40">
        <v>2.7</v>
      </c>
      <c r="D640" s="40">
        <v>193.73</v>
      </c>
      <c r="E640" s="40">
        <v>10.09</v>
      </c>
      <c r="F640" s="40">
        <v>6.91</v>
      </c>
      <c r="G640" s="40">
        <v>0</v>
      </c>
      <c r="H640" s="40">
        <v>17</v>
      </c>
      <c r="I640" s="40">
        <v>0.91</v>
      </c>
      <c r="J640" s="40">
        <v>144.77</v>
      </c>
      <c r="K640" s="40">
        <v>162.68</v>
      </c>
      <c r="L640" s="40">
        <v>31.05</v>
      </c>
      <c r="M640" s="40">
        <v>26.01</v>
      </c>
      <c r="N640" s="40">
        <v>3.16</v>
      </c>
      <c r="O640" s="40">
        <v>29.17</v>
      </c>
      <c r="P640" s="40">
        <v>1.8799999999999812</v>
      </c>
      <c r="Q640" s="6">
        <v>93.94524959742357</v>
      </c>
      <c r="R640" s="39"/>
    </row>
    <row r="641" spans="1:18" ht="14.25">
      <c r="A641" s="20" t="s">
        <v>31</v>
      </c>
      <c r="B641" s="40">
        <v>1944.98</v>
      </c>
      <c r="C641" s="40">
        <v>10.48</v>
      </c>
      <c r="D641" s="40">
        <v>1955.46</v>
      </c>
      <c r="E641" s="40">
        <v>77.5</v>
      </c>
      <c r="F641" s="40">
        <v>560.73</v>
      </c>
      <c r="G641" s="40">
        <v>510.91</v>
      </c>
      <c r="H641" s="40">
        <v>1149.14</v>
      </c>
      <c r="I641" s="40">
        <v>0</v>
      </c>
      <c r="J641" s="40">
        <v>152.59</v>
      </c>
      <c r="K641" s="40">
        <v>1301.73</v>
      </c>
      <c r="L641" s="40">
        <v>653.73</v>
      </c>
      <c r="M641" s="40">
        <v>318.16</v>
      </c>
      <c r="N641" s="40">
        <v>227.85</v>
      </c>
      <c r="O641" s="40">
        <v>546.01</v>
      </c>
      <c r="P641" s="40">
        <v>107.72</v>
      </c>
      <c r="Q641" s="6">
        <v>83.52224924663086</v>
      </c>
      <c r="R641" s="20"/>
    </row>
    <row r="642" spans="1:18" ht="14.25">
      <c r="A642" s="20" t="s">
        <v>32</v>
      </c>
      <c r="B642" s="40">
        <v>788.05</v>
      </c>
      <c r="C642" s="40">
        <v>9.15</v>
      </c>
      <c r="D642" s="40">
        <v>797.2</v>
      </c>
      <c r="E642" s="40">
        <v>7.15</v>
      </c>
      <c r="F642" s="40">
        <v>312.78</v>
      </c>
      <c r="G642" s="40">
        <v>0</v>
      </c>
      <c r="H642" s="40">
        <v>319.93</v>
      </c>
      <c r="I642" s="40">
        <v>0</v>
      </c>
      <c r="J642" s="40">
        <v>413.77</v>
      </c>
      <c r="K642" s="40">
        <v>733.7</v>
      </c>
      <c r="L642" s="40">
        <v>63.5</v>
      </c>
      <c r="M642" s="40">
        <v>44.39</v>
      </c>
      <c r="N642" s="40">
        <v>15.59</v>
      </c>
      <c r="O642" s="40">
        <v>59.98</v>
      </c>
      <c r="P642" s="40">
        <v>3.52</v>
      </c>
      <c r="Q642" s="6">
        <v>94.45669291338584</v>
      </c>
      <c r="R642" s="20"/>
    </row>
    <row r="643" spans="1:18" ht="14.25">
      <c r="A643" s="20" t="s">
        <v>33</v>
      </c>
      <c r="B643" s="40">
        <v>169.86</v>
      </c>
      <c r="C643" s="40">
        <v>3.42</v>
      </c>
      <c r="D643" s="40">
        <v>173.28</v>
      </c>
      <c r="E643" s="40">
        <v>61.59</v>
      </c>
      <c r="F643" s="40">
        <v>43.34</v>
      </c>
      <c r="G643" s="40">
        <v>0.32</v>
      </c>
      <c r="H643" s="40">
        <v>105.25</v>
      </c>
      <c r="I643" s="40">
        <v>0</v>
      </c>
      <c r="J643" s="40">
        <v>17.7</v>
      </c>
      <c r="K643" s="40">
        <v>122.95</v>
      </c>
      <c r="L643" s="40">
        <v>50.33</v>
      </c>
      <c r="M643" s="40">
        <v>28.71</v>
      </c>
      <c r="N643" s="40">
        <v>12.66</v>
      </c>
      <c r="O643" s="40">
        <v>41.37</v>
      </c>
      <c r="P643" s="40">
        <v>8.959999999999994</v>
      </c>
      <c r="Q643" s="6">
        <v>82.19749652294855</v>
      </c>
      <c r="R643" s="20"/>
    </row>
    <row r="644" spans="1:18" ht="14.25">
      <c r="A644" s="20" t="s">
        <v>34</v>
      </c>
      <c r="B644" s="40">
        <v>1024.4</v>
      </c>
      <c r="C644" s="40">
        <v>103.97</v>
      </c>
      <c r="D644" s="40">
        <v>1128.37</v>
      </c>
      <c r="E644" s="40">
        <v>435.16</v>
      </c>
      <c r="F644" s="40">
        <v>37.18</v>
      </c>
      <c r="G644" s="40">
        <v>190.54</v>
      </c>
      <c r="H644" s="40">
        <v>662.88</v>
      </c>
      <c r="I644" s="40">
        <v>3.02</v>
      </c>
      <c r="J644" s="40">
        <v>212.35</v>
      </c>
      <c r="K644" s="40">
        <v>878.25</v>
      </c>
      <c r="L644" s="40">
        <v>250.12</v>
      </c>
      <c r="M644" s="40">
        <v>51.93</v>
      </c>
      <c r="N644" s="40">
        <v>140.43</v>
      </c>
      <c r="O644" s="40">
        <v>192.36</v>
      </c>
      <c r="P644" s="40">
        <v>57.760000000000105</v>
      </c>
      <c r="Q644" s="6">
        <v>76.90708459939226</v>
      </c>
      <c r="R644" s="20"/>
    </row>
    <row r="645" spans="1:18" ht="15">
      <c r="A645" s="21" t="s">
        <v>35</v>
      </c>
      <c r="B645" s="22">
        <v>40831.89</v>
      </c>
      <c r="C645" s="22">
        <v>9465.98</v>
      </c>
      <c r="D645" s="22">
        <v>50297.87</v>
      </c>
      <c r="E645" s="22">
        <v>19366.92</v>
      </c>
      <c r="F645" s="22">
        <v>7386.74</v>
      </c>
      <c r="G645" s="22">
        <v>2690.97</v>
      </c>
      <c r="H645" s="22">
        <v>29444.63</v>
      </c>
      <c r="I645" s="41">
        <v>2228.04</v>
      </c>
      <c r="J645" s="41">
        <v>12419.6</v>
      </c>
      <c r="K645" s="41">
        <v>44092.27</v>
      </c>
      <c r="L645" s="41">
        <v>6205.6</v>
      </c>
      <c r="M645" s="22">
        <v>2826.72</v>
      </c>
      <c r="N645" s="22">
        <v>1384.26</v>
      </c>
      <c r="O645" s="41">
        <v>4210.98</v>
      </c>
      <c r="P645" s="41">
        <v>1994.62</v>
      </c>
      <c r="Q645" s="22">
        <v>67.85774139486918</v>
      </c>
      <c r="R645" s="20"/>
    </row>
  </sheetData>
  <mergeCells count="574">
    <mergeCell ref="A1:Q1"/>
    <mergeCell ref="A2:Q2"/>
    <mergeCell ref="A3:Q3"/>
    <mergeCell ref="A4:A5"/>
    <mergeCell ref="B4:B5"/>
    <mergeCell ref="C4:C5"/>
    <mergeCell ref="D4:D5"/>
    <mergeCell ref="E4:G4"/>
    <mergeCell ref="J4:J5"/>
    <mergeCell ref="K4:K5"/>
    <mergeCell ref="P4:P5"/>
    <mergeCell ref="Q4:Q5"/>
    <mergeCell ref="A24:Q24"/>
    <mergeCell ref="A25:Q25"/>
    <mergeCell ref="L4:L5"/>
    <mergeCell ref="M4:M5"/>
    <mergeCell ref="N4:N5"/>
    <mergeCell ref="O4:O5"/>
    <mergeCell ref="H4:H5"/>
    <mergeCell ref="I4:I5"/>
    <mergeCell ref="H27:H28"/>
    <mergeCell ref="I27:I28"/>
    <mergeCell ref="R54:R55"/>
    <mergeCell ref="R78:R79"/>
    <mergeCell ref="J54:J55"/>
    <mergeCell ref="K54:K55"/>
    <mergeCell ref="A51:Q51"/>
    <mergeCell ref="A52:Q52"/>
    <mergeCell ref="N27:N28"/>
    <mergeCell ref="O27:O28"/>
    <mergeCell ref="A26:Q26"/>
    <mergeCell ref="A27:A28"/>
    <mergeCell ref="B27:B28"/>
    <mergeCell ref="C27:C28"/>
    <mergeCell ref="D27:D28"/>
    <mergeCell ref="E27:G27"/>
    <mergeCell ref="P27:P28"/>
    <mergeCell ref="Q27:Q28"/>
    <mergeCell ref="L27:L28"/>
    <mergeCell ref="M27:M28"/>
    <mergeCell ref="J27:J28"/>
    <mergeCell ref="K27:K28"/>
    <mergeCell ref="N54:N55"/>
    <mergeCell ref="O54:O55"/>
    <mergeCell ref="A53:Q53"/>
    <mergeCell ref="A54:A55"/>
    <mergeCell ref="B54:B55"/>
    <mergeCell ref="C54:C55"/>
    <mergeCell ref="D54:D55"/>
    <mergeCell ref="E54:G54"/>
    <mergeCell ref="H54:H55"/>
    <mergeCell ref="I54:I55"/>
    <mergeCell ref="M78:M79"/>
    <mergeCell ref="N78:N79"/>
    <mergeCell ref="E78:G78"/>
    <mergeCell ref="H78:H79"/>
    <mergeCell ref="A78:A79"/>
    <mergeCell ref="B78:B79"/>
    <mergeCell ref="C78:C79"/>
    <mergeCell ref="D78:D79"/>
    <mergeCell ref="R4:R5"/>
    <mergeCell ref="R27:R28"/>
    <mergeCell ref="A76:Q76"/>
    <mergeCell ref="A77:Q77"/>
    <mergeCell ref="P54:P55"/>
    <mergeCell ref="Q54:Q55"/>
    <mergeCell ref="A71:Q71"/>
    <mergeCell ref="A75:Q75"/>
    <mergeCell ref="L54:L55"/>
    <mergeCell ref="M54:M55"/>
    <mergeCell ref="A100:Q100"/>
    <mergeCell ref="O78:O79"/>
    <mergeCell ref="P78:P79"/>
    <mergeCell ref="Q78:Q79"/>
    <mergeCell ref="A98:Q98"/>
    <mergeCell ref="K78:K79"/>
    <mergeCell ref="L78:L79"/>
    <mergeCell ref="I78:I79"/>
    <mergeCell ref="J78:J79"/>
    <mergeCell ref="A99:Q99"/>
    <mergeCell ref="A101:Q101"/>
    <mergeCell ref="A102:Q102"/>
    <mergeCell ref="A103:A104"/>
    <mergeCell ref="B103:B104"/>
    <mergeCell ref="C103:C104"/>
    <mergeCell ref="D103:D104"/>
    <mergeCell ref="E103:G103"/>
    <mergeCell ref="H103:H104"/>
    <mergeCell ref="I103:I104"/>
    <mergeCell ref="J103:J104"/>
    <mergeCell ref="Q103:Q104"/>
    <mergeCell ref="R103:R104"/>
    <mergeCell ref="K103:K104"/>
    <mergeCell ref="L103:L104"/>
    <mergeCell ref="M103:M104"/>
    <mergeCell ref="N103:N104"/>
    <mergeCell ref="H124:H125"/>
    <mergeCell ref="I124:I125"/>
    <mergeCell ref="O103:O104"/>
    <mergeCell ref="P103:P104"/>
    <mergeCell ref="L124:L125"/>
    <mergeCell ref="M124:M125"/>
    <mergeCell ref="A121:Q121"/>
    <mergeCell ref="A122:Q122"/>
    <mergeCell ref="A123:Q123"/>
    <mergeCell ref="A124:A125"/>
    <mergeCell ref="B124:B125"/>
    <mergeCell ref="C124:C125"/>
    <mergeCell ref="D124:D125"/>
    <mergeCell ref="E124:G124"/>
    <mergeCell ref="R124:R125"/>
    <mergeCell ref="R126:R140"/>
    <mergeCell ref="A142:Q142"/>
    <mergeCell ref="A143:Q143"/>
    <mergeCell ref="N124:N125"/>
    <mergeCell ref="O124:O125"/>
    <mergeCell ref="P124:P125"/>
    <mergeCell ref="Q124:Q125"/>
    <mergeCell ref="J124:J125"/>
    <mergeCell ref="K124:K125"/>
    <mergeCell ref="A144:Q144"/>
    <mergeCell ref="A145:A146"/>
    <mergeCell ref="B145:B146"/>
    <mergeCell ref="C145:C146"/>
    <mergeCell ref="D145:D146"/>
    <mergeCell ref="E145:G145"/>
    <mergeCell ref="H145:H146"/>
    <mergeCell ref="I145:I146"/>
    <mergeCell ref="J145:J146"/>
    <mergeCell ref="K145:K146"/>
    <mergeCell ref="P145:P146"/>
    <mergeCell ref="Q145:Q146"/>
    <mergeCell ref="R145:R146"/>
    <mergeCell ref="A163:Q163"/>
    <mergeCell ref="L145:L146"/>
    <mergeCell ref="M145:M146"/>
    <mergeCell ref="N145:N146"/>
    <mergeCell ref="O145:O146"/>
    <mergeCell ref="A164:Q164"/>
    <mergeCell ref="A165:Q165"/>
    <mergeCell ref="A166:A167"/>
    <mergeCell ref="B166:B167"/>
    <mergeCell ref="C166:C167"/>
    <mergeCell ref="D166:D167"/>
    <mergeCell ref="E166:G166"/>
    <mergeCell ref="H166:H167"/>
    <mergeCell ref="I166:I167"/>
    <mergeCell ref="J166:J167"/>
    <mergeCell ref="Q166:Q167"/>
    <mergeCell ref="R166:R167"/>
    <mergeCell ref="K166:K167"/>
    <mergeCell ref="L166:L167"/>
    <mergeCell ref="M166:M167"/>
    <mergeCell ref="N166:N167"/>
    <mergeCell ref="H187:H188"/>
    <mergeCell ref="I187:I188"/>
    <mergeCell ref="O166:O167"/>
    <mergeCell ref="P166:P167"/>
    <mergeCell ref="L187:L188"/>
    <mergeCell ref="M187:M188"/>
    <mergeCell ref="A184:Q184"/>
    <mergeCell ref="A185:Q185"/>
    <mergeCell ref="A186:Q186"/>
    <mergeCell ref="A187:A188"/>
    <mergeCell ref="B187:B188"/>
    <mergeCell ref="C187:C188"/>
    <mergeCell ref="D187:D188"/>
    <mergeCell ref="E187:G187"/>
    <mergeCell ref="R187:R188"/>
    <mergeCell ref="A205:Q205"/>
    <mergeCell ref="A206:Q206"/>
    <mergeCell ref="A207:Q207"/>
    <mergeCell ref="N187:N188"/>
    <mergeCell ref="O187:O188"/>
    <mergeCell ref="P187:P188"/>
    <mergeCell ref="Q187:Q188"/>
    <mergeCell ref="J187:J188"/>
    <mergeCell ref="K187:K188"/>
    <mergeCell ref="A208:A209"/>
    <mergeCell ref="B208:B209"/>
    <mergeCell ref="C208:C209"/>
    <mergeCell ref="D208:D209"/>
    <mergeCell ref="E208:G208"/>
    <mergeCell ref="H208:H209"/>
    <mergeCell ref="I208:I209"/>
    <mergeCell ref="J208:J209"/>
    <mergeCell ref="Q208:Q209"/>
    <mergeCell ref="R208:R209"/>
    <mergeCell ref="K208:K209"/>
    <mergeCell ref="L208:L209"/>
    <mergeCell ref="M208:M209"/>
    <mergeCell ref="N208:N209"/>
    <mergeCell ref="H229:H230"/>
    <mergeCell ref="I229:I230"/>
    <mergeCell ref="O208:O209"/>
    <mergeCell ref="P208:P209"/>
    <mergeCell ref="L229:L230"/>
    <mergeCell ref="M229:M230"/>
    <mergeCell ref="A226:Q226"/>
    <mergeCell ref="A227:Q227"/>
    <mergeCell ref="A228:Q228"/>
    <mergeCell ref="A229:A230"/>
    <mergeCell ref="B229:B230"/>
    <mergeCell ref="C229:C230"/>
    <mergeCell ref="D229:D230"/>
    <mergeCell ref="E229:G229"/>
    <mergeCell ref="R229:R230"/>
    <mergeCell ref="A247:Q247"/>
    <mergeCell ref="A248:Q248"/>
    <mergeCell ref="A249:Q249"/>
    <mergeCell ref="N229:N230"/>
    <mergeCell ref="O229:O230"/>
    <mergeCell ref="P229:P230"/>
    <mergeCell ref="Q229:Q230"/>
    <mergeCell ref="J229:J230"/>
    <mergeCell ref="K229:K230"/>
    <mergeCell ref="A250:A251"/>
    <mergeCell ref="B250:B251"/>
    <mergeCell ref="C250:C251"/>
    <mergeCell ref="D250:D251"/>
    <mergeCell ref="E250:G250"/>
    <mergeCell ref="H250:H251"/>
    <mergeCell ref="I250:I251"/>
    <mergeCell ref="J250:J251"/>
    <mergeCell ref="Q250:Q251"/>
    <mergeCell ref="R250:R251"/>
    <mergeCell ref="K250:K251"/>
    <mergeCell ref="L250:L251"/>
    <mergeCell ref="M250:M251"/>
    <mergeCell ref="N250:N251"/>
    <mergeCell ref="H271:H272"/>
    <mergeCell ref="I271:I272"/>
    <mergeCell ref="O250:O251"/>
    <mergeCell ref="P250:P251"/>
    <mergeCell ref="L271:L272"/>
    <mergeCell ref="M271:M272"/>
    <mergeCell ref="A268:Q268"/>
    <mergeCell ref="A269:Q269"/>
    <mergeCell ref="A270:Q270"/>
    <mergeCell ref="A271:A272"/>
    <mergeCell ref="B271:B272"/>
    <mergeCell ref="C271:C272"/>
    <mergeCell ref="D271:D272"/>
    <mergeCell ref="E271:G271"/>
    <mergeCell ref="R271:R272"/>
    <mergeCell ref="A289:Q289"/>
    <mergeCell ref="A290:Q290"/>
    <mergeCell ref="A291:Q291"/>
    <mergeCell ref="N271:N272"/>
    <mergeCell ref="O271:O272"/>
    <mergeCell ref="P271:P272"/>
    <mergeCell ref="Q271:Q272"/>
    <mergeCell ref="J271:J272"/>
    <mergeCell ref="K271:K272"/>
    <mergeCell ref="A292:A293"/>
    <mergeCell ref="B292:B293"/>
    <mergeCell ref="C292:C293"/>
    <mergeCell ref="D292:D293"/>
    <mergeCell ref="E292:G292"/>
    <mergeCell ref="H292:H293"/>
    <mergeCell ref="I292:I293"/>
    <mergeCell ref="J292:J293"/>
    <mergeCell ref="Q292:Q293"/>
    <mergeCell ref="R292:R293"/>
    <mergeCell ref="K292:K293"/>
    <mergeCell ref="L292:L293"/>
    <mergeCell ref="M292:M293"/>
    <mergeCell ref="N292:N293"/>
    <mergeCell ref="H313:H314"/>
    <mergeCell ref="I313:I314"/>
    <mergeCell ref="O292:O293"/>
    <mergeCell ref="P292:P293"/>
    <mergeCell ref="L313:L314"/>
    <mergeCell ref="M313:M314"/>
    <mergeCell ref="A310:Q310"/>
    <mergeCell ref="A311:Q311"/>
    <mergeCell ref="A312:Q312"/>
    <mergeCell ref="A313:A314"/>
    <mergeCell ref="B313:B314"/>
    <mergeCell ref="C313:C314"/>
    <mergeCell ref="D313:D314"/>
    <mergeCell ref="E313:G313"/>
    <mergeCell ref="R313:R314"/>
    <mergeCell ref="A331:Q331"/>
    <mergeCell ref="A332:Q332"/>
    <mergeCell ref="A333:Q333"/>
    <mergeCell ref="N313:N314"/>
    <mergeCell ref="O313:O314"/>
    <mergeCell ref="P313:P314"/>
    <mergeCell ref="Q313:Q314"/>
    <mergeCell ref="J313:J314"/>
    <mergeCell ref="K313:K314"/>
    <mergeCell ref="A334:A335"/>
    <mergeCell ref="B334:B335"/>
    <mergeCell ref="C334:C335"/>
    <mergeCell ref="D334:D335"/>
    <mergeCell ref="E334:G334"/>
    <mergeCell ref="H334:H335"/>
    <mergeCell ref="I334:I335"/>
    <mergeCell ref="J334:J335"/>
    <mergeCell ref="Q334:Q335"/>
    <mergeCell ref="R334:R335"/>
    <mergeCell ref="K334:K335"/>
    <mergeCell ref="L334:L335"/>
    <mergeCell ref="M334:M335"/>
    <mergeCell ref="N334:N335"/>
    <mergeCell ref="H355:H356"/>
    <mergeCell ref="I355:I356"/>
    <mergeCell ref="O334:O335"/>
    <mergeCell ref="P334:P335"/>
    <mergeCell ref="L355:L356"/>
    <mergeCell ref="M355:M356"/>
    <mergeCell ref="A352:Q352"/>
    <mergeCell ref="A353:Q353"/>
    <mergeCell ref="A354:Q354"/>
    <mergeCell ref="A355:A356"/>
    <mergeCell ref="B355:B356"/>
    <mergeCell ref="C355:C356"/>
    <mergeCell ref="D355:D356"/>
    <mergeCell ref="E355:G355"/>
    <mergeCell ref="R355:R356"/>
    <mergeCell ref="A373:Q373"/>
    <mergeCell ref="A374:Q374"/>
    <mergeCell ref="A375:Q375"/>
    <mergeCell ref="N355:N356"/>
    <mergeCell ref="O355:O356"/>
    <mergeCell ref="P355:P356"/>
    <mergeCell ref="Q355:Q356"/>
    <mergeCell ref="J355:J356"/>
    <mergeCell ref="K355:K356"/>
    <mergeCell ref="A376:A377"/>
    <mergeCell ref="B376:B377"/>
    <mergeCell ref="C376:C377"/>
    <mergeCell ref="D376:D377"/>
    <mergeCell ref="E376:G376"/>
    <mergeCell ref="H376:H377"/>
    <mergeCell ref="I376:I377"/>
    <mergeCell ref="J376:J377"/>
    <mergeCell ref="Q376:Q377"/>
    <mergeCell ref="R376:R377"/>
    <mergeCell ref="K376:K377"/>
    <mergeCell ref="L376:L377"/>
    <mergeCell ref="M376:M377"/>
    <mergeCell ref="N376:N377"/>
    <mergeCell ref="H397:H398"/>
    <mergeCell ref="I397:I398"/>
    <mergeCell ref="O376:O377"/>
    <mergeCell ref="P376:P377"/>
    <mergeCell ref="L397:L398"/>
    <mergeCell ref="M397:M398"/>
    <mergeCell ref="A394:Q394"/>
    <mergeCell ref="A395:Q395"/>
    <mergeCell ref="A396:Q396"/>
    <mergeCell ref="A397:A398"/>
    <mergeCell ref="B397:B398"/>
    <mergeCell ref="C397:C398"/>
    <mergeCell ref="D397:D398"/>
    <mergeCell ref="E397:G397"/>
    <mergeCell ref="R397:R398"/>
    <mergeCell ref="A415:Q415"/>
    <mergeCell ref="A416:Q416"/>
    <mergeCell ref="A417:Q417"/>
    <mergeCell ref="N397:N398"/>
    <mergeCell ref="O397:O398"/>
    <mergeCell ref="P397:P398"/>
    <mergeCell ref="Q397:Q398"/>
    <mergeCell ref="J397:J398"/>
    <mergeCell ref="K397:K398"/>
    <mergeCell ref="A418:A419"/>
    <mergeCell ref="B418:B419"/>
    <mergeCell ref="C418:C419"/>
    <mergeCell ref="D418:D419"/>
    <mergeCell ref="E418:G418"/>
    <mergeCell ref="H418:H419"/>
    <mergeCell ref="I418:I419"/>
    <mergeCell ref="J418:J419"/>
    <mergeCell ref="Q418:Q419"/>
    <mergeCell ref="R418:R419"/>
    <mergeCell ref="K418:K419"/>
    <mergeCell ref="L418:L419"/>
    <mergeCell ref="M418:M419"/>
    <mergeCell ref="N418:N419"/>
    <mergeCell ref="H439:H440"/>
    <mergeCell ref="I439:I440"/>
    <mergeCell ref="O418:O419"/>
    <mergeCell ref="P418:P419"/>
    <mergeCell ref="L439:L440"/>
    <mergeCell ref="M439:M440"/>
    <mergeCell ref="A436:Q436"/>
    <mergeCell ref="A437:Q437"/>
    <mergeCell ref="A438:Q438"/>
    <mergeCell ref="A439:A440"/>
    <mergeCell ref="B439:B440"/>
    <mergeCell ref="C439:C440"/>
    <mergeCell ref="D439:D440"/>
    <mergeCell ref="E439:G439"/>
    <mergeCell ref="R439:R440"/>
    <mergeCell ref="A457:Q457"/>
    <mergeCell ref="A458:Q458"/>
    <mergeCell ref="A459:Q459"/>
    <mergeCell ref="N439:N440"/>
    <mergeCell ref="O439:O440"/>
    <mergeCell ref="P439:P440"/>
    <mergeCell ref="Q439:Q440"/>
    <mergeCell ref="J439:J440"/>
    <mergeCell ref="K439:K440"/>
    <mergeCell ref="A460:A461"/>
    <mergeCell ref="B460:B461"/>
    <mergeCell ref="C460:C461"/>
    <mergeCell ref="D460:D461"/>
    <mergeCell ref="E460:G460"/>
    <mergeCell ref="H460:H461"/>
    <mergeCell ref="I460:I461"/>
    <mergeCell ref="J460:J461"/>
    <mergeCell ref="Q460:Q461"/>
    <mergeCell ref="R460:R461"/>
    <mergeCell ref="K460:K461"/>
    <mergeCell ref="L460:L461"/>
    <mergeCell ref="M460:M461"/>
    <mergeCell ref="N460:N461"/>
    <mergeCell ref="H481:H482"/>
    <mergeCell ref="I481:I482"/>
    <mergeCell ref="O460:O461"/>
    <mergeCell ref="P460:P461"/>
    <mergeCell ref="L481:L482"/>
    <mergeCell ref="M481:M482"/>
    <mergeCell ref="A478:Q478"/>
    <mergeCell ref="A479:Q479"/>
    <mergeCell ref="A480:Q480"/>
    <mergeCell ref="A481:A482"/>
    <mergeCell ref="B481:B482"/>
    <mergeCell ref="C481:C482"/>
    <mergeCell ref="D481:D482"/>
    <mergeCell ref="E481:G481"/>
    <mergeCell ref="R481:R482"/>
    <mergeCell ref="A499:Q499"/>
    <mergeCell ref="A500:Q500"/>
    <mergeCell ref="A501:Q501"/>
    <mergeCell ref="N481:N482"/>
    <mergeCell ref="O481:O482"/>
    <mergeCell ref="P481:P482"/>
    <mergeCell ref="Q481:Q482"/>
    <mergeCell ref="J481:J482"/>
    <mergeCell ref="K481:K482"/>
    <mergeCell ref="A502:A503"/>
    <mergeCell ref="B502:B503"/>
    <mergeCell ref="C502:C503"/>
    <mergeCell ref="D502:D503"/>
    <mergeCell ref="E502:G502"/>
    <mergeCell ref="H502:H503"/>
    <mergeCell ref="I502:I503"/>
    <mergeCell ref="J502:J503"/>
    <mergeCell ref="Q502:Q503"/>
    <mergeCell ref="R502:R503"/>
    <mergeCell ref="K502:K503"/>
    <mergeCell ref="L502:L503"/>
    <mergeCell ref="M502:M503"/>
    <mergeCell ref="N502:N503"/>
    <mergeCell ref="H524:H525"/>
    <mergeCell ref="I524:I525"/>
    <mergeCell ref="O502:O503"/>
    <mergeCell ref="P502:P503"/>
    <mergeCell ref="L524:L525"/>
    <mergeCell ref="M524:M525"/>
    <mergeCell ref="A521:Q521"/>
    <mergeCell ref="A522:Q522"/>
    <mergeCell ref="A523:Q523"/>
    <mergeCell ref="A524:A525"/>
    <mergeCell ref="B524:B525"/>
    <mergeCell ref="C524:C525"/>
    <mergeCell ref="D524:D525"/>
    <mergeCell ref="E524:G524"/>
    <mergeCell ref="R524:R525"/>
    <mergeCell ref="A542:Q542"/>
    <mergeCell ref="A543:Q543"/>
    <mergeCell ref="A544:Q544"/>
    <mergeCell ref="N524:N525"/>
    <mergeCell ref="O524:O525"/>
    <mergeCell ref="P524:P525"/>
    <mergeCell ref="Q524:Q525"/>
    <mergeCell ref="J524:J525"/>
    <mergeCell ref="K524:K525"/>
    <mergeCell ref="A545:A546"/>
    <mergeCell ref="B545:B546"/>
    <mergeCell ref="C545:C546"/>
    <mergeCell ref="D545:D546"/>
    <mergeCell ref="E545:G545"/>
    <mergeCell ref="H545:H546"/>
    <mergeCell ref="I545:I546"/>
    <mergeCell ref="J545:J546"/>
    <mergeCell ref="Q545:Q546"/>
    <mergeCell ref="R545:R546"/>
    <mergeCell ref="K545:K546"/>
    <mergeCell ref="L545:L546"/>
    <mergeCell ref="M545:M546"/>
    <mergeCell ref="N545:N546"/>
    <mergeCell ref="H566:H567"/>
    <mergeCell ref="I566:I567"/>
    <mergeCell ref="O545:O546"/>
    <mergeCell ref="P545:P546"/>
    <mergeCell ref="L566:L567"/>
    <mergeCell ref="M566:M567"/>
    <mergeCell ref="A563:Q563"/>
    <mergeCell ref="A564:Q564"/>
    <mergeCell ref="A565:Q565"/>
    <mergeCell ref="A566:A567"/>
    <mergeCell ref="B566:B567"/>
    <mergeCell ref="C566:C567"/>
    <mergeCell ref="D566:D567"/>
    <mergeCell ref="E566:G566"/>
    <mergeCell ref="R566:R567"/>
    <mergeCell ref="A584:Q584"/>
    <mergeCell ref="A585:Q585"/>
    <mergeCell ref="A586:Q586"/>
    <mergeCell ref="N566:N567"/>
    <mergeCell ref="O566:O567"/>
    <mergeCell ref="P566:P567"/>
    <mergeCell ref="Q566:Q567"/>
    <mergeCell ref="J566:J567"/>
    <mergeCell ref="K566:K567"/>
    <mergeCell ref="A587:A588"/>
    <mergeCell ref="B587:B588"/>
    <mergeCell ref="C587:C588"/>
    <mergeCell ref="D587:D588"/>
    <mergeCell ref="E587:G587"/>
    <mergeCell ref="H587:H588"/>
    <mergeCell ref="I587:I588"/>
    <mergeCell ref="J587:J588"/>
    <mergeCell ref="Q587:Q588"/>
    <mergeCell ref="R587:R588"/>
    <mergeCell ref="K587:K588"/>
    <mergeCell ref="L587:L588"/>
    <mergeCell ref="M587:M588"/>
    <mergeCell ref="N587:N588"/>
    <mergeCell ref="H608:H609"/>
    <mergeCell ref="I608:I609"/>
    <mergeCell ref="O587:O588"/>
    <mergeCell ref="P587:P588"/>
    <mergeCell ref="L608:L609"/>
    <mergeCell ref="M608:M609"/>
    <mergeCell ref="A605:Q605"/>
    <mergeCell ref="A606:Q606"/>
    <mergeCell ref="A607:Q607"/>
    <mergeCell ref="A608:A609"/>
    <mergeCell ref="B608:B609"/>
    <mergeCell ref="C608:C609"/>
    <mergeCell ref="D608:D609"/>
    <mergeCell ref="E608:G608"/>
    <mergeCell ref="R608:R609"/>
    <mergeCell ref="A626:Q626"/>
    <mergeCell ref="A627:Q627"/>
    <mergeCell ref="A628:Q628"/>
    <mergeCell ref="N608:N609"/>
    <mergeCell ref="O608:O609"/>
    <mergeCell ref="P608:P609"/>
    <mergeCell ref="Q608:Q609"/>
    <mergeCell ref="J608:J609"/>
    <mergeCell ref="K608:K609"/>
    <mergeCell ref="A629:A630"/>
    <mergeCell ref="B629:B630"/>
    <mergeCell ref="C629:C630"/>
    <mergeCell ref="D629:D630"/>
    <mergeCell ref="E629:G629"/>
    <mergeCell ref="H629:H630"/>
    <mergeCell ref="I629:I630"/>
    <mergeCell ref="J629:J630"/>
    <mergeCell ref="K629:K630"/>
    <mergeCell ref="L629:L630"/>
    <mergeCell ref="M629:M630"/>
    <mergeCell ref="N629:N630"/>
    <mergeCell ref="O629:O630"/>
    <mergeCell ref="P629:P630"/>
    <mergeCell ref="Q629:Q630"/>
    <mergeCell ref="R629:R630"/>
  </mergeCells>
  <printOptions/>
  <pageMargins left="0.16" right="0.19" top="1" bottom="1" header="0.5" footer="0.5"/>
  <pageSetup horizontalDpi="600" verticalDpi="600" orientation="landscape" scale="85" r:id="rId1"/>
  <rowBreaks count="29" manualBreakCount="29">
    <brk id="23" max="255" man="1"/>
    <brk id="50" max="255" man="1"/>
    <brk id="74" max="255" man="1"/>
    <brk id="99" max="255" man="1"/>
    <brk id="120" max="255" man="1"/>
    <brk id="141" max="255" man="1"/>
    <brk id="162" max="255" man="1"/>
    <brk id="183" max="255" man="1"/>
    <brk id="204" max="255" man="1"/>
    <brk id="225" max="255" man="1"/>
    <brk id="246" max="255" man="1"/>
    <brk id="267" max="255" man="1"/>
    <brk id="288" max="255" man="1"/>
    <brk id="309" max="255" man="1"/>
    <brk id="330" max="255" man="1"/>
    <brk id="351" max="255" man="1"/>
    <brk id="372" max="255" man="1"/>
    <brk id="393" max="255" man="1"/>
    <brk id="414" max="255" man="1"/>
    <brk id="435" max="255" man="1"/>
    <brk id="456" max="255" man="1"/>
    <brk id="477" max="255" man="1"/>
    <brk id="498" max="255" man="1"/>
    <brk id="520" max="255" man="1"/>
    <brk id="541" max="255" man="1"/>
    <brk id="562" max="255" man="1"/>
    <brk id="583" max="255" man="1"/>
    <brk id="604" max="255" man="1"/>
    <brk id="6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L21" sqref="L21"/>
    </sheetView>
  </sheetViews>
  <sheetFormatPr defaultColWidth="9.140625" defaultRowHeight="12.75"/>
  <cols>
    <col min="1" max="1" width="4.140625" style="0" customWidth="1"/>
    <col min="2" max="2" width="20.28125" style="0" customWidth="1"/>
    <col min="5" max="5" width="11.00390625" style="0" customWidth="1"/>
    <col min="9" max="9" width="10.8515625" style="0" customWidth="1"/>
  </cols>
  <sheetData>
    <row r="1" spans="1:10" ht="12.75">
      <c r="A1" s="211" t="s">
        <v>242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5.75">
      <c r="A2" s="212" t="s">
        <v>253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2.75">
      <c r="A3" s="203" t="s">
        <v>2</v>
      </c>
      <c r="B3" s="204"/>
      <c r="C3" s="204"/>
      <c r="D3" s="204"/>
      <c r="E3" s="204"/>
      <c r="F3" s="204"/>
      <c r="G3" s="204"/>
      <c r="H3" s="204"/>
      <c r="I3" s="204"/>
      <c r="J3" s="205"/>
    </row>
    <row r="4" spans="1:10" ht="12.75">
      <c r="A4" s="199" t="s">
        <v>156</v>
      </c>
      <c r="B4" s="147" t="s">
        <v>3</v>
      </c>
      <c r="C4" s="206" t="s">
        <v>39</v>
      </c>
      <c r="D4" s="207"/>
      <c r="E4" s="207"/>
      <c r="F4" s="208"/>
      <c r="G4" s="152" t="s">
        <v>244</v>
      </c>
      <c r="H4" s="152"/>
      <c r="I4" s="152"/>
      <c r="J4" s="152"/>
    </row>
    <row r="5" spans="1:10" ht="61.5" customHeight="1">
      <c r="A5" s="150"/>
      <c r="B5" s="153"/>
      <c r="C5" s="104" t="s">
        <v>129</v>
      </c>
      <c r="D5" s="104" t="s">
        <v>130</v>
      </c>
      <c r="E5" s="105" t="s">
        <v>245</v>
      </c>
      <c r="F5" s="90" t="s">
        <v>246</v>
      </c>
      <c r="G5" s="104" t="s">
        <v>129</v>
      </c>
      <c r="H5" s="104" t="s">
        <v>130</v>
      </c>
      <c r="I5" s="105" t="s">
        <v>247</v>
      </c>
      <c r="J5" s="90" t="s">
        <v>246</v>
      </c>
    </row>
    <row r="6" spans="1:10" ht="19.5" customHeight="1">
      <c r="A6" s="72">
        <v>1</v>
      </c>
      <c r="B6" s="79" t="s">
        <v>159</v>
      </c>
      <c r="C6" s="59">
        <v>2939.9</v>
      </c>
      <c r="D6" s="59">
        <v>1714.05</v>
      </c>
      <c r="E6" s="59">
        <f>D6-C6</f>
        <v>-1225.8500000000001</v>
      </c>
      <c r="F6" s="59">
        <f>E6/C6*100</f>
        <v>-41.69699649647948</v>
      </c>
      <c r="G6" s="59">
        <v>1388.4</v>
      </c>
      <c r="H6" s="59">
        <v>1426.87</v>
      </c>
      <c r="I6" s="59">
        <f>H6-G6</f>
        <v>38.4699999999998</v>
      </c>
      <c r="J6" s="59">
        <f>I6/G6*100</f>
        <v>2.7708153269950877</v>
      </c>
    </row>
    <row r="7" spans="1:10" ht="19.5" customHeight="1">
      <c r="A7" s="72">
        <v>2</v>
      </c>
      <c r="B7" s="79" t="s">
        <v>160</v>
      </c>
      <c r="C7" s="59">
        <v>512.9</v>
      </c>
      <c r="D7" s="59">
        <v>587.56</v>
      </c>
      <c r="E7" s="59">
        <f aca="true" t="shared" si="0" ref="E7:E26">D7-C7</f>
        <v>74.65999999999997</v>
      </c>
      <c r="F7" s="59">
        <f aca="true" t="shared" si="1" ref="F7:F26">E7/C7*100</f>
        <v>14.556443751218556</v>
      </c>
      <c r="G7" s="59">
        <v>326.74</v>
      </c>
      <c r="H7" s="59">
        <v>383.33</v>
      </c>
      <c r="I7" s="59">
        <f aca="true" t="shared" si="2" ref="I7:I26">H7-G7</f>
        <v>56.589999999999975</v>
      </c>
      <c r="J7" s="59">
        <f aca="true" t="shared" si="3" ref="J7:J26">I7/G7*100</f>
        <v>17.319581318479514</v>
      </c>
    </row>
    <row r="8" spans="1:10" ht="19.5" customHeight="1">
      <c r="A8" s="72">
        <v>3</v>
      </c>
      <c r="B8" s="79" t="s">
        <v>161</v>
      </c>
      <c r="C8" s="59">
        <v>525.95</v>
      </c>
      <c r="D8" s="59">
        <v>538.64</v>
      </c>
      <c r="E8" s="59">
        <f t="shared" si="0"/>
        <v>12.68999999999994</v>
      </c>
      <c r="F8" s="59">
        <f t="shared" si="1"/>
        <v>2.412776879931541</v>
      </c>
      <c r="G8" s="59">
        <v>368.71</v>
      </c>
      <c r="H8" s="59">
        <v>386.4</v>
      </c>
      <c r="I8" s="59">
        <f t="shared" si="2"/>
        <v>17.689999999999998</v>
      </c>
      <c r="J8" s="59">
        <f t="shared" si="3"/>
        <v>4.797808575845515</v>
      </c>
    </row>
    <row r="9" spans="1:10" ht="19.5" customHeight="1">
      <c r="A9" s="20">
        <v>4</v>
      </c>
      <c r="B9" s="85" t="s">
        <v>164</v>
      </c>
      <c r="C9" s="59">
        <v>1456.65</v>
      </c>
      <c r="D9" s="59">
        <v>1466.63</v>
      </c>
      <c r="E9" s="59">
        <f t="shared" si="0"/>
        <v>9.980000000000018</v>
      </c>
      <c r="F9" s="59">
        <f t="shared" si="1"/>
        <v>0.6851336971818911</v>
      </c>
      <c r="G9" s="59">
        <v>1171.94</v>
      </c>
      <c r="H9" s="59">
        <v>1324.02</v>
      </c>
      <c r="I9" s="59">
        <f t="shared" si="2"/>
        <v>152.07999999999993</v>
      </c>
      <c r="J9" s="59">
        <f t="shared" si="3"/>
        <v>12.976773554960145</v>
      </c>
    </row>
    <row r="10" spans="1:10" ht="19.5" customHeight="1">
      <c r="A10" s="20">
        <v>5</v>
      </c>
      <c r="B10" s="85" t="s">
        <v>254</v>
      </c>
      <c r="C10" s="59">
        <v>241.96</v>
      </c>
      <c r="D10" s="59">
        <v>264.68</v>
      </c>
      <c r="E10" s="59">
        <f t="shared" si="0"/>
        <v>22.72</v>
      </c>
      <c r="F10" s="59">
        <f t="shared" si="1"/>
        <v>9.38998181517606</v>
      </c>
      <c r="G10" s="59">
        <v>188.65</v>
      </c>
      <c r="H10" s="59">
        <v>214.94</v>
      </c>
      <c r="I10" s="59">
        <f t="shared" si="2"/>
        <v>26.289999999999992</v>
      </c>
      <c r="J10" s="59">
        <f t="shared" si="3"/>
        <v>13.935860058309032</v>
      </c>
    </row>
    <row r="11" spans="1:10" ht="19.5" customHeight="1">
      <c r="A11" s="20">
        <v>6</v>
      </c>
      <c r="B11" s="85" t="s">
        <v>180</v>
      </c>
      <c r="C11" s="59">
        <v>333.95</v>
      </c>
      <c r="D11" s="59">
        <v>399.8</v>
      </c>
      <c r="E11" s="59">
        <f t="shared" si="0"/>
        <v>65.85000000000002</v>
      </c>
      <c r="F11" s="59">
        <f t="shared" si="1"/>
        <v>19.71852073663723</v>
      </c>
      <c r="G11" s="59">
        <v>288.11</v>
      </c>
      <c r="H11" s="59">
        <v>341.05</v>
      </c>
      <c r="I11" s="59">
        <f t="shared" si="2"/>
        <v>52.94</v>
      </c>
      <c r="J11" s="59">
        <f t="shared" si="3"/>
        <v>18.37492624344868</v>
      </c>
    </row>
    <row r="12" spans="1:10" ht="19.5" customHeight="1">
      <c r="A12" s="20">
        <v>7</v>
      </c>
      <c r="B12" s="85" t="s">
        <v>185</v>
      </c>
      <c r="C12" s="59">
        <v>735.52</v>
      </c>
      <c r="D12" s="59">
        <v>654.71</v>
      </c>
      <c r="E12" s="59">
        <f t="shared" si="0"/>
        <v>-80.80999999999995</v>
      </c>
      <c r="F12" s="59">
        <f t="shared" si="1"/>
        <v>-10.986784859691095</v>
      </c>
      <c r="G12" s="59">
        <v>637.34</v>
      </c>
      <c r="H12" s="59">
        <v>600.65</v>
      </c>
      <c r="I12" s="59">
        <f t="shared" si="2"/>
        <v>-36.690000000000055</v>
      </c>
      <c r="J12" s="59">
        <f t="shared" si="3"/>
        <v>-5.75673894624534</v>
      </c>
    </row>
    <row r="13" spans="1:10" ht="19.5" customHeight="1">
      <c r="A13" s="20">
        <v>8</v>
      </c>
      <c r="B13" s="85" t="s">
        <v>238</v>
      </c>
      <c r="C13" s="59">
        <v>338.29</v>
      </c>
      <c r="D13" s="59">
        <v>383.41</v>
      </c>
      <c r="E13" s="59">
        <f t="shared" si="0"/>
        <v>45.120000000000005</v>
      </c>
      <c r="F13" s="59">
        <f t="shared" si="1"/>
        <v>13.337668863992432</v>
      </c>
      <c r="G13" s="59">
        <v>301.54</v>
      </c>
      <c r="H13" s="59">
        <v>320.84</v>
      </c>
      <c r="I13" s="59">
        <f t="shared" si="2"/>
        <v>19.299999999999955</v>
      </c>
      <c r="J13" s="59">
        <f t="shared" si="3"/>
        <v>6.40047754858392</v>
      </c>
    </row>
    <row r="14" spans="1:10" ht="19.5" customHeight="1">
      <c r="A14" s="20">
        <v>9</v>
      </c>
      <c r="B14" s="85" t="s">
        <v>192</v>
      </c>
      <c r="C14" s="59">
        <v>129.23</v>
      </c>
      <c r="D14" s="59">
        <v>145.19</v>
      </c>
      <c r="E14" s="59">
        <f t="shared" si="0"/>
        <v>15.960000000000008</v>
      </c>
      <c r="F14" s="59">
        <f t="shared" si="1"/>
        <v>12.350073512342343</v>
      </c>
      <c r="G14" s="59">
        <v>122.33</v>
      </c>
      <c r="H14" s="59">
        <v>128.58</v>
      </c>
      <c r="I14" s="59">
        <f t="shared" si="2"/>
        <v>6.250000000000014</v>
      </c>
      <c r="J14" s="59">
        <f t="shared" si="3"/>
        <v>5.1091310389929</v>
      </c>
    </row>
    <row r="15" spans="1:10" ht="19.5" customHeight="1">
      <c r="A15" s="20">
        <v>10</v>
      </c>
      <c r="B15" s="85" t="s">
        <v>198</v>
      </c>
      <c r="C15" s="59">
        <v>4862.98</v>
      </c>
      <c r="D15" s="59">
        <v>4628.74</v>
      </c>
      <c r="E15" s="59">
        <f t="shared" si="0"/>
        <v>-234.23999999999978</v>
      </c>
      <c r="F15" s="59">
        <f t="shared" si="1"/>
        <v>-4.8167995755688855</v>
      </c>
      <c r="G15" s="59">
        <v>3551.3</v>
      </c>
      <c r="H15" s="59">
        <v>2929.12</v>
      </c>
      <c r="I15" s="59">
        <f t="shared" si="2"/>
        <v>-622.1800000000003</v>
      </c>
      <c r="J15" s="59">
        <f t="shared" si="3"/>
        <v>-17.519781488469018</v>
      </c>
    </row>
    <row r="16" spans="1:10" ht="19.5" customHeight="1">
      <c r="A16" s="20">
        <v>11</v>
      </c>
      <c r="B16" s="85" t="s">
        <v>199</v>
      </c>
      <c r="C16" s="59">
        <v>1570.47</v>
      </c>
      <c r="D16" s="59">
        <v>1562.59</v>
      </c>
      <c r="E16" s="59">
        <f t="shared" si="0"/>
        <v>-7.880000000000109</v>
      </c>
      <c r="F16" s="59">
        <f t="shared" si="1"/>
        <v>-0.5017606194324061</v>
      </c>
      <c r="G16" s="59">
        <v>841.17</v>
      </c>
      <c r="H16" s="59">
        <v>728.58</v>
      </c>
      <c r="I16" s="59">
        <f t="shared" si="2"/>
        <v>-112.58999999999992</v>
      </c>
      <c r="J16" s="59">
        <f t="shared" si="3"/>
        <v>-13.384928135810824</v>
      </c>
    </row>
    <row r="17" spans="1:10" ht="19.5" customHeight="1">
      <c r="A17" s="20">
        <v>12</v>
      </c>
      <c r="B17" s="85" t="s">
        <v>197</v>
      </c>
      <c r="C17" s="59">
        <v>952.65</v>
      </c>
      <c r="D17" s="59">
        <v>633.7900000000009</v>
      </c>
      <c r="E17" s="59">
        <f t="shared" si="0"/>
        <v>-318.8599999999991</v>
      </c>
      <c r="F17" s="59">
        <f t="shared" si="1"/>
        <v>-33.47084448643249</v>
      </c>
      <c r="G17" s="59">
        <v>792.93</v>
      </c>
      <c r="H17" s="59">
        <v>388.97</v>
      </c>
      <c r="I17" s="59">
        <f t="shared" si="2"/>
        <v>-403.9599999999999</v>
      </c>
      <c r="J17" s="59">
        <f t="shared" si="3"/>
        <v>-50.94522845648417</v>
      </c>
    </row>
    <row r="18" spans="1:10" ht="19.5" customHeight="1">
      <c r="A18" s="20">
        <v>13</v>
      </c>
      <c r="B18" s="85" t="s">
        <v>240</v>
      </c>
      <c r="C18" s="59">
        <v>1766.22</v>
      </c>
      <c r="D18" s="59">
        <v>1868.69</v>
      </c>
      <c r="E18" s="59">
        <f t="shared" si="0"/>
        <v>102.47000000000003</v>
      </c>
      <c r="F18" s="59">
        <f t="shared" si="1"/>
        <v>5.801655512903263</v>
      </c>
      <c r="G18" s="59">
        <v>1278.1</v>
      </c>
      <c r="H18" s="59">
        <v>1072.51</v>
      </c>
      <c r="I18" s="59">
        <f t="shared" si="2"/>
        <v>-205.58999999999992</v>
      </c>
      <c r="J18" s="59">
        <f t="shared" si="3"/>
        <v>-16.085595806274934</v>
      </c>
    </row>
    <row r="19" spans="1:10" ht="19.5" customHeight="1">
      <c r="A19" s="20">
        <v>14</v>
      </c>
      <c r="B19" s="85" t="s">
        <v>210</v>
      </c>
      <c r="C19" s="59">
        <v>325.12</v>
      </c>
      <c r="D19" s="59">
        <v>584.7200000000012</v>
      </c>
      <c r="E19" s="59">
        <f t="shared" si="0"/>
        <v>259.60000000000116</v>
      </c>
      <c r="F19" s="59">
        <f t="shared" si="1"/>
        <v>79.84744094488224</v>
      </c>
      <c r="G19" s="59">
        <v>229.23</v>
      </c>
      <c r="H19" s="59">
        <v>340.09</v>
      </c>
      <c r="I19" s="59">
        <f t="shared" si="2"/>
        <v>110.85999999999999</v>
      </c>
      <c r="J19" s="59">
        <f t="shared" si="3"/>
        <v>48.361907254722325</v>
      </c>
    </row>
    <row r="20" spans="1:10" ht="19.5" customHeight="1">
      <c r="A20" s="20">
        <v>15</v>
      </c>
      <c r="B20" s="85" t="s">
        <v>208</v>
      </c>
      <c r="C20" s="59">
        <v>302.59</v>
      </c>
      <c r="D20" s="59">
        <v>458.55</v>
      </c>
      <c r="E20" s="59">
        <f t="shared" si="0"/>
        <v>155.96000000000004</v>
      </c>
      <c r="F20" s="59">
        <f t="shared" si="1"/>
        <v>51.54169007567998</v>
      </c>
      <c r="G20" s="59">
        <v>243.19</v>
      </c>
      <c r="H20" s="59">
        <v>291.52</v>
      </c>
      <c r="I20" s="59">
        <f t="shared" si="2"/>
        <v>48.329999999999984</v>
      </c>
      <c r="J20" s="59">
        <f t="shared" si="3"/>
        <v>19.873350055512145</v>
      </c>
    </row>
    <row r="21" spans="1:10" ht="19.5" customHeight="1">
      <c r="A21" s="20">
        <v>16</v>
      </c>
      <c r="B21" s="85" t="s">
        <v>221</v>
      </c>
      <c r="C21" s="59">
        <v>1202.48</v>
      </c>
      <c r="D21" s="59">
        <v>1496.89</v>
      </c>
      <c r="E21" s="59">
        <f t="shared" si="0"/>
        <v>294.4100000000001</v>
      </c>
      <c r="F21" s="59">
        <f t="shared" si="1"/>
        <v>24.48356729425854</v>
      </c>
      <c r="G21" s="59">
        <v>929.58</v>
      </c>
      <c r="H21" s="59">
        <v>1229.54</v>
      </c>
      <c r="I21" s="59">
        <f t="shared" si="2"/>
        <v>299.9599999999999</v>
      </c>
      <c r="J21" s="59">
        <f t="shared" si="3"/>
        <v>32.26833623787086</v>
      </c>
    </row>
    <row r="22" spans="1:10" ht="19.5" customHeight="1">
      <c r="A22" s="20">
        <v>17</v>
      </c>
      <c r="B22" s="85" t="s">
        <v>229</v>
      </c>
      <c r="C22" s="59">
        <v>455.93</v>
      </c>
      <c r="D22" s="59">
        <v>371.25</v>
      </c>
      <c r="E22" s="59">
        <f t="shared" si="0"/>
        <v>-84.68</v>
      </c>
      <c r="F22" s="59">
        <f t="shared" si="1"/>
        <v>-18.573026561094906</v>
      </c>
      <c r="G22" s="59">
        <v>376.2</v>
      </c>
      <c r="H22" s="59">
        <v>226.24</v>
      </c>
      <c r="I22" s="59">
        <f t="shared" si="2"/>
        <v>-149.95999999999998</v>
      </c>
      <c r="J22" s="59">
        <f t="shared" si="3"/>
        <v>-39.86177565124933</v>
      </c>
    </row>
    <row r="23" spans="1:10" ht="19.5" customHeight="1">
      <c r="A23" s="20">
        <v>18</v>
      </c>
      <c r="B23" s="85" t="s">
        <v>223</v>
      </c>
      <c r="C23" s="59">
        <v>101.23</v>
      </c>
      <c r="D23" s="59">
        <v>114.06</v>
      </c>
      <c r="E23" s="59">
        <f t="shared" si="0"/>
        <v>12.829999999999998</v>
      </c>
      <c r="F23" s="59">
        <f t="shared" si="1"/>
        <v>12.674108465869798</v>
      </c>
      <c r="G23" s="59">
        <v>64.99</v>
      </c>
      <c r="H23" s="59">
        <v>87.35</v>
      </c>
      <c r="I23" s="59">
        <f t="shared" si="2"/>
        <v>22.36</v>
      </c>
      <c r="J23" s="59">
        <f t="shared" si="3"/>
        <v>34.405293122018776</v>
      </c>
    </row>
    <row r="24" spans="1:10" ht="19.5" customHeight="1">
      <c r="A24" s="20">
        <v>19</v>
      </c>
      <c r="B24" s="85" t="s">
        <v>241</v>
      </c>
      <c r="C24" s="59">
        <v>84.1</v>
      </c>
      <c r="D24" s="59">
        <v>78.61999999999989</v>
      </c>
      <c r="E24" s="59">
        <f t="shared" si="0"/>
        <v>-5.4800000000001035</v>
      </c>
      <c r="F24" s="59">
        <f t="shared" si="1"/>
        <v>-6.516052318668375</v>
      </c>
      <c r="G24" s="59">
        <v>76.88</v>
      </c>
      <c r="H24" s="59">
        <v>71.26</v>
      </c>
      <c r="I24" s="59">
        <f t="shared" si="2"/>
        <v>-5.61999999999999</v>
      </c>
      <c r="J24" s="59">
        <f t="shared" si="3"/>
        <v>-7.310093652445357</v>
      </c>
    </row>
    <row r="25" spans="1:10" ht="19.5" customHeight="1">
      <c r="A25" s="20">
        <v>20</v>
      </c>
      <c r="B25" s="85" t="s">
        <v>234</v>
      </c>
      <c r="C25" s="59">
        <v>116.81</v>
      </c>
      <c r="D25" s="59">
        <v>285.21</v>
      </c>
      <c r="E25" s="59">
        <f t="shared" si="0"/>
        <v>168.39999999999998</v>
      </c>
      <c r="F25" s="59">
        <f t="shared" si="1"/>
        <v>144.16573923465455</v>
      </c>
      <c r="G25" s="59">
        <v>87.31</v>
      </c>
      <c r="H25" s="59">
        <v>165.03</v>
      </c>
      <c r="I25" s="59">
        <f t="shared" si="2"/>
        <v>77.72</v>
      </c>
      <c r="J25" s="59">
        <f t="shared" si="3"/>
        <v>89.01614935288053</v>
      </c>
    </row>
    <row r="26" spans="1:10" ht="19.5" customHeight="1">
      <c r="A26" s="21"/>
      <c r="B26" s="7" t="s">
        <v>35</v>
      </c>
      <c r="C26" s="60">
        <f>SUM(C6:C25)</f>
        <v>18954.929999999997</v>
      </c>
      <c r="D26" s="60">
        <f>SUM(D6:D25)</f>
        <v>18237.780000000002</v>
      </c>
      <c r="E26" s="60">
        <f t="shared" si="0"/>
        <v>-717.1499999999942</v>
      </c>
      <c r="F26" s="60">
        <f t="shared" si="1"/>
        <v>-3.7834484221255065</v>
      </c>
      <c r="G26" s="60">
        <f>SUM(G6:G25)</f>
        <v>13264.640000000001</v>
      </c>
      <c r="H26" s="60">
        <f>SUM(H6:H25)</f>
        <v>12656.890000000003</v>
      </c>
      <c r="I26" s="60">
        <f t="shared" si="2"/>
        <v>-607.7499999999982</v>
      </c>
      <c r="J26" s="60">
        <f t="shared" si="3"/>
        <v>-4.581730073337822</v>
      </c>
    </row>
  </sheetData>
  <mergeCells count="7">
    <mergeCell ref="A1:J1"/>
    <mergeCell ref="A2:J2"/>
    <mergeCell ref="A3:J3"/>
    <mergeCell ref="A4:A5"/>
    <mergeCell ref="B4:B5"/>
    <mergeCell ref="C4:F4"/>
    <mergeCell ref="G4:J4"/>
  </mergeCells>
  <printOptions/>
  <pageMargins left="0.24" right="0.27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7"/>
  <sheetViews>
    <sheetView workbookViewId="0" topLeftCell="C1">
      <selection activeCell="T14" sqref="T14"/>
    </sheetView>
  </sheetViews>
  <sheetFormatPr defaultColWidth="9.140625" defaultRowHeight="12.75"/>
  <cols>
    <col min="1" max="1" width="3.8515625" style="0" customWidth="1"/>
    <col min="2" max="2" width="7.421875" style="0" customWidth="1"/>
    <col min="4" max="4" width="9.57421875" style="0" customWidth="1"/>
    <col min="5" max="5" width="6.421875" style="0" customWidth="1"/>
    <col min="6" max="6" width="6.00390625" style="0" customWidth="1"/>
    <col min="7" max="7" width="10.57421875" style="0" customWidth="1"/>
    <col min="8" max="8" width="10.00390625" style="0" customWidth="1"/>
    <col min="9" max="9" width="6.57421875" style="0" customWidth="1"/>
    <col min="10" max="10" width="6.28125" style="0" customWidth="1"/>
    <col min="13" max="13" width="9.421875" style="0" customWidth="1"/>
    <col min="14" max="14" width="6.140625" style="0" customWidth="1"/>
    <col min="15" max="15" width="5.57421875" style="0" customWidth="1"/>
    <col min="16" max="16" width="1.8515625" style="0" customWidth="1"/>
    <col min="17" max="17" width="6.57421875" style="0" customWidth="1"/>
    <col min="18" max="18" width="11.28125" style="0" customWidth="1"/>
    <col min="19" max="19" width="6.57421875" style="0" customWidth="1"/>
  </cols>
  <sheetData>
    <row r="1" spans="1:19" ht="18">
      <c r="A1" s="215" t="s">
        <v>255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23.25" customHeight="1">
      <c r="A2" s="216" t="s">
        <v>256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21" thickBot="1">
      <c r="A3" s="217" t="s">
        <v>257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s="107" customFormat="1" ht="51" customHeight="1" thickBot="1" thickTop="1">
      <c r="A4" s="218" t="s">
        <v>258</v>
      </c>
      <c r="B4" s="218" t="s">
        <v>259</v>
      </c>
      <c r="C4" s="219" t="s">
        <v>260</v>
      </c>
      <c r="D4" s="219"/>
      <c r="E4" s="219"/>
      <c r="F4" s="219"/>
      <c r="G4" s="219" t="s">
        <v>261</v>
      </c>
      <c r="H4" s="219"/>
      <c r="I4" s="219"/>
      <c r="J4" s="219"/>
      <c r="K4" s="219" t="s">
        <v>262</v>
      </c>
      <c r="L4" s="219"/>
      <c r="M4" s="219"/>
      <c r="N4" s="219"/>
      <c r="O4" s="219"/>
      <c r="P4" s="106"/>
      <c r="Q4" s="214" t="s">
        <v>259</v>
      </c>
      <c r="R4" s="214" t="s">
        <v>263</v>
      </c>
      <c r="S4" s="214" t="s">
        <v>264</v>
      </c>
    </row>
    <row r="5" spans="1:19" s="107" customFormat="1" ht="52.5" thickBot="1" thickTop="1">
      <c r="A5" s="218"/>
      <c r="B5" s="218"/>
      <c r="C5" s="108" t="s">
        <v>6</v>
      </c>
      <c r="D5" s="108" t="s">
        <v>15</v>
      </c>
      <c r="E5" s="108" t="s">
        <v>265</v>
      </c>
      <c r="F5" s="108" t="s">
        <v>266</v>
      </c>
      <c r="G5" s="108" t="s">
        <v>39</v>
      </c>
      <c r="H5" s="108" t="s">
        <v>244</v>
      </c>
      <c r="I5" s="108" t="s">
        <v>265</v>
      </c>
      <c r="J5" s="108" t="s">
        <v>266</v>
      </c>
      <c r="K5" s="108" t="s">
        <v>267</v>
      </c>
      <c r="L5" s="108" t="s">
        <v>268</v>
      </c>
      <c r="M5" s="108" t="s">
        <v>269</v>
      </c>
      <c r="N5" s="108" t="s">
        <v>265</v>
      </c>
      <c r="O5" s="109" t="s">
        <v>266</v>
      </c>
      <c r="P5" s="110"/>
      <c r="Q5" s="220"/>
      <c r="R5" s="214"/>
      <c r="S5" s="214"/>
    </row>
    <row r="6" spans="1:19" s="107" customFormat="1" ht="18.75" customHeight="1" thickBot="1" thickTop="1">
      <c r="A6" s="111">
        <v>1</v>
      </c>
      <c r="B6" s="111">
        <v>2</v>
      </c>
      <c r="C6" s="111">
        <v>3</v>
      </c>
      <c r="D6" s="111">
        <v>4</v>
      </c>
      <c r="E6" s="111">
        <v>5</v>
      </c>
      <c r="F6" s="111">
        <v>6</v>
      </c>
      <c r="G6" s="111">
        <v>7</v>
      </c>
      <c r="H6" s="111">
        <v>8</v>
      </c>
      <c r="I6" s="111">
        <v>9</v>
      </c>
      <c r="J6" s="111">
        <v>10</v>
      </c>
      <c r="K6" s="111">
        <v>11</v>
      </c>
      <c r="L6" s="111">
        <v>12</v>
      </c>
      <c r="M6" s="111">
        <v>13</v>
      </c>
      <c r="N6" s="111">
        <v>14</v>
      </c>
      <c r="O6" s="111">
        <v>15</v>
      </c>
      <c r="P6" s="112"/>
      <c r="Q6" s="113">
        <v>16</v>
      </c>
      <c r="R6" s="114" t="s">
        <v>270</v>
      </c>
      <c r="S6" s="115">
        <v>18</v>
      </c>
    </row>
    <row r="7" spans="1:19" ht="18" customHeight="1" thickBot="1" thickTop="1">
      <c r="A7" s="20">
        <v>1</v>
      </c>
      <c r="B7" s="85" t="s">
        <v>21</v>
      </c>
      <c r="C7" s="59">
        <v>25988.32</v>
      </c>
      <c r="D7" s="59">
        <v>4014.66</v>
      </c>
      <c r="E7" s="59">
        <f>D7/C7*100</f>
        <v>15.447939689829893</v>
      </c>
      <c r="F7" s="116">
        <v>6</v>
      </c>
      <c r="G7" s="59">
        <v>6244.13</v>
      </c>
      <c r="H7" s="59">
        <v>4014.66</v>
      </c>
      <c r="I7" s="59">
        <f>H7/G7*100</f>
        <v>64.29494581310766</v>
      </c>
      <c r="J7" s="116">
        <v>11</v>
      </c>
      <c r="K7" s="59">
        <v>3988.13</v>
      </c>
      <c r="L7" s="59">
        <v>4014.66</v>
      </c>
      <c r="M7" s="59">
        <f>L7-K7</f>
        <v>26.529999999999745</v>
      </c>
      <c r="N7" s="59">
        <f>M7/K7*100</f>
        <v>0.6652240523754177</v>
      </c>
      <c r="O7" s="116">
        <v>12</v>
      </c>
      <c r="Q7" s="117" t="s">
        <v>28</v>
      </c>
      <c r="R7" s="118">
        <v>135.88858090306786</v>
      </c>
      <c r="S7" s="119" t="s">
        <v>271</v>
      </c>
    </row>
    <row r="8" spans="1:19" ht="18" customHeight="1" thickBot="1" thickTop="1">
      <c r="A8" s="20">
        <v>2</v>
      </c>
      <c r="B8" s="85" t="s">
        <v>22</v>
      </c>
      <c r="C8" s="59">
        <v>51025.74</v>
      </c>
      <c r="D8" s="59">
        <v>3199.79</v>
      </c>
      <c r="E8" s="59">
        <f aca="true" t="shared" si="0" ref="E8:E20">D8/C8*100</f>
        <v>6.270933062411246</v>
      </c>
      <c r="F8" s="116">
        <v>13</v>
      </c>
      <c r="G8" s="59">
        <v>3792.15</v>
      </c>
      <c r="H8" s="59">
        <v>3199.79</v>
      </c>
      <c r="I8" s="59">
        <f aca="true" t="shared" si="1" ref="I8:I20">H8/G8*100</f>
        <v>84.37930989016785</v>
      </c>
      <c r="J8" s="116">
        <v>6</v>
      </c>
      <c r="K8" s="59">
        <v>3047.17</v>
      </c>
      <c r="L8" s="59">
        <v>3199.79</v>
      </c>
      <c r="M8" s="59">
        <f aca="true" t="shared" si="2" ref="M8:M20">L8-K8</f>
        <v>152.6199999999999</v>
      </c>
      <c r="N8" s="59">
        <f aca="true" t="shared" si="3" ref="N8:N20">M8/K8*100</f>
        <v>5.00858173321475</v>
      </c>
      <c r="O8" s="116">
        <v>10</v>
      </c>
      <c r="Q8" s="117" t="s">
        <v>23</v>
      </c>
      <c r="R8" s="118">
        <v>120.93286953654523</v>
      </c>
      <c r="S8" s="119" t="s">
        <v>272</v>
      </c>
    </row>
    <row r="9" spans="1:19" ht="18" customHeight="1" thickBot="1" thickTop="1">
      <c r="A9" s="20">
        <v>3</v>
      </c>
      <c r="B9" s="85" t="s">
        <v>23</v>
      </c>
      <c r="C9" s="59">
        <v>9805.07</v>
      </c>
      <c r="D9" s="59">
        <v>1305.26</v>
      </c>
      <c r="E9" s="59">
        <f t="shared" si="0"/>
        <v>13.31209262147032</v>
      </c>
      <c r="F9" s="116">
        <v>7</v>
      </c>
      <c r="G9" s="59">
        <v>1447.75</v>
      </c>
      <c r="H9" s="59">
        <v>1305.26</v>
      </c>
      <c r="I9" s="59">
        <f t="shared" si="1"/>
        <v>90.15783111725091</v>
      </c>
      <c r="J9" s="116">
        <v>3</v>
      </c>
      <c r="K9" s="59">
        <v>1111.21</v>
      </c>
      <c r="L9" s="59">
        <v>1305.26</v>
      </c>
      <c r="M9" s="59">
        <f t="shared" si="2"/>
        <v>194.04999999999995</v>
      </c>
      <c r="N9" s="59">
        <f t="shared" si="3"/>
        <v>17.462945797823988</v>
      </c>
      <c r="O9" s="116">
        <v>4</v>
      </c>
      <c r="Q9" s="117" t="s">
        <v>24</v>
      </c>
      <c r="R9" s="118">
        <v>117.97557905186522</v>
      </c>
      <c r="S9" s="119" t="s">
        <v>273</v>
      </c>
    </row>
    <row r="10" spans="1:19" ht="18" customHeight="1" thickBot="1" thickTop="1">
      <c r="A10" s="20">
        <v>4</v>
      </c>
      <c r="B10" s="85" t="s">
        <v>24</v>
      </c>
      <c r="C10" s="59">
        <v>8351.48</v>
      </c>
      <c r="D10" s="59">
        <v>1688.32</v>
      </c>
      <c r="E10" s="59">
        <f t="shared" si="0"/>
        <v>20.21581803464775</v>
      </c>
      <c r="F10" s="116">
        <v>3</v>
      </c>
      <c r="G10" s="59">
        <v>1935.77</v>
      </c>
      <c r="H10" s="59">
        <v>1688.32</v>
      </c>
      <c r="I10" s="59">
        <f t="shared" si="1"/>
        <v>87.2169730908114</v>
      </c>
      <c r="J10" s="116">
        <v>5</v>
      </c>
      <c r="K10" s="59">
        <v>1527.3</v>
      </c>
      <c r="L10" s="59">
        <v>1688.32</v>
      </c>
      <c r="M10" s="59">
        <f t="shared" si="2"/>
        <v>161.01999999999998</v>
      </c>
      <c r="N10" s="59">
        <f t="shared" si="3"/>
        <v>10.542787926406074</v>
      </c>
      <c r="O10" s="116">
        <v>8</v>
      </c>
      <c r="Q10" s="117" t="s">
        <v>32</v>
      </c>
      <c r="R10" s="118">
        <v>117.31105651258315</v>
      </c>
      <c r="S10" s="119" t="s">
        <v>274</v>
      </c>
    </row>
    <row r="11" spans="1:19" ht="18" customHeight="1" thickBot="1" thickTop="1">
      <c r="A11" s="20">
        <v>5</v>
      </c>
      <c r="B11" s="85" t="s">
        <v>25</v>
      </c>
      <c r="C11" s="59">
        <v>11975.34</v>
      </c>
      <c r="D11" s="59">
        <v>2424.34</v>
      </c>
      <c r="E11" s="59">
        <f t="shared" si="0"/>
        <v>20.24443564859119</v>
      </c>
      <c r="F11" s="116">
        <v>2</v>
      </c>
      <c r="G11" s="59">
        <v>2746.35</v>
      </c>
      <c r="H11" s="59">
        <v>2424.34</v>
      </c>
      <c r="I11" s="59">
        <f t="shared" si="1"/>
        <v>88.27498315946622</v>
      </c>
      <c r="J11" s="116">
        <v>4</v>
      </c>
      <c r="K11" s="59">
        <v>2236.62</v>
      </c>
      <c r="L11" s="59">
        <v>2424.34</v>
      </c>
      <c r="M11" s="59">
        <f t="shared" si="2"/>
        <v>187.72000000000025</v>
      </c>
      <c r="N11" s="59">
        <f t="shared" si="3"/>
        <v>8.393021612969582</v>
      </c>
      <c r="O11" s="116">
        <v>9</v>
      </c>
      <c r="Q11" s="117" t="s">
        <v>25</v>
      </c>
      <c r="R11" s="118">
        <v>116.91244042102699</v>
      </c>
      <c r="S11" s="119" t="s">
        <v>275</v>
      </c>
    </row>
    <row r="12" spans="1:19" ht="18" customHeight="1" thickBot="1" thickTop="1">
      <c r="A12" s="20">
        <v>6</v>
      </c>
      <c r="B12" s="85" t="s">
        <v>26</v>
      </c>
      <c r="C12" s="59">
        <v>7925.63</v>
      </c>
      <c r="D12" s="59">
        <v>755.38</v>
      </c>
      <c r="E12" s="59">
        <f t="shared" si="0"/>
        <v>9.530851175237805</v>
      </c>
      <c r="F12" s="116">
        <v>10</v>
      </c>
      <c r="G12" s="59">
        <v>1350.18</v>
      </c>
      <c r="H12" s="59">
        <v>755.38</v>
      </c>
      <c r="I12" s="59">
        <f t="shared" si="1"/>
        <v>55.94661452547067</v>
      </c>
      <c r="J12" s="116">
        <v>12</v>
      </c>
      <c r="K12" s="59">
        <v>571.74</v>
      </c>
      <c r="L12" s="59">
        <v>755.38</v>
      </c>
      <c r="M12" s="59">
        <f t="shared" si="2"/>
        <v>183.64</v>
      </c>
      <c r="N12" s="59">
        <f t="shared" si="3"/>
        <v>32.119494875292965</v>
      </c>
      <c r="O12" s="116">
        <v>2</v>
      </c>
      <c r="Q12" s="117" t="s">
        <v>31</v>
      </c>
      <c r="R12" s="118">
        <v>111.8656264190324</v>
      </c>
      <c r="S12" s="119" t="s">
        <v>276</v>
      </c>
    </row>
    <row r="13" spans="1:19" ht="18" customHeight="1" thickBot="1" thickTop="1">
      <c r="A13" s="20">
        <v>7</v>
      </c>
      <c r="B13" s="85" t="s">
        <v>27</v>
      </c>
      <c r="C13" s="59">
        <v>65693.43</v>
      </c>
      <c r="D13" s="59">
        <v>5284.38</v>
      </c>
      <c r="E13" s="59">
        <f t="shared" si="0"/>
        <v>8.044000747106676</v>
      </c>
      <c r="F13" s="116">
        <v>11</v>
      </c>
      <c r="G13" s="59">
        <v>10079.05</v>
      </c>
      <c r="H13" s="59">
        <v>5284.38</v>
      </c>
      <c r="I13" s="59">
        <f t="shared" si="1"/>
        <v>52.42934601971416</v>
      </c>
      <c r="J13" s="116">
        <v>13</v>
      </c>
      <c r="K13" s="59">
        <v>7517.84</v>
      </c>
      <c r="L13" s="59">
        <v>5284.38</v>
      </c>
      <c r="M13" s="59">
        <f t="shared" si="2"/>
        <v>-2233.46</v>
      </c>
      <c r="N13" s="59">
        <f t="shared" si="3"/>
        <v>-29.708799335979485</v>
      </c>
      <c r="O13" s="116">
        <v>14</v>
      </c>
      <c r="Q13" s="117" t="s">
        <v>33</v>
      </c>
      <c r="R13" s="118">
        <v>101.21364728385662</v>
      </c>
      <c r="S13" s="119" t="s">
        <v>277</v>
      </c>
    </row>
    <row r="14" spans="1:19" ht="18" customHeight="1" thickBot="1" thickTop="1">
      <c r="A14" s="20">
        <v>8</v>
      </c>
      <c r="B14" s="85" t="s">
        <v>28</v>
      </c>
      <c r="C14" s="59">
        <v>20311.56</v>
      </c>
      <c r="D14" s="59">
        <v>3867.06</v>
      </c>
      <c r="E14" s="59">
        <f t="shared" si="0"/>
        <v>19.03871489929872</v>
      </c>
      <c r="F14" s="116">
        <v>4</v>
      </c>
      <c r="G14" s="59">
        <v>5359.91</v>
      </c>
      <c r="H14" s="59">
        <v>3867.06</v>
      </c>
      <c r="I14" s="59">
        <f t="shared" si="1"/>
        <v>72.14785322887884</v>
      </c>
      <c r="J14" s="116">
        <v>8</v>
      </c>
      <c r="K14" s="59">
        <v>2672.43</v>
      </c>
      <c r="L14" s="59">
        <v>3867.06</v>
      </c>
      <c r="M14" s="59">
        <f t="shared" si="2"/>
        <v>1194.63</v>
      </c>
      <c r="N14" s="59">
        <f t="shared" si="3"/>
        <v>44.70201277489028</v>
      </c>
      <c r="O14" s="116">
        <v>1</v>
      </c>
      <c r="Q14" s="117" t="s">
        <v>26</v>
      </c>
      <c r="R14" s="118">
        <v>97.59696057600144</v>
      </c>
      <c r="S14" s="119" t="s">
        <v>278</v>
      </c>
    </row>
    <row r="15" spans="1:19" ht="18" customHeight="1" thickBot="1" thickTop="1">
      <c r="A15" s="20">
        <v>9</v>
      </c>
      <c r="B15" s="85" t="s">
        <v>29</v>
      </c>
      <c r="C15" s="59">
        <v>41848.72</v>
      </c>
      <c r="D15" s="59">
        <v>1396.15</v>
      </c>
      <c r="E15" s="59">
        <f t="shared" si="0"/>
        <v>3.3361832811134966</v>
      </c>
      <c r="F15" s="116">
        <v>14</v>
      </c>
      <c r="G15" s="59">
        <v>2047.11</v>
      </c>
      <c r="H15" s="59">
        <v>1396.15</v>
      </c>
      <c r="I15" s="59">
        <f t="shared" si="1"/>
        <v>68.20102485943599</v>
      </c>
      <c r="J15" s="116">
        <v>9</v>
      </c>
      <c r="K15" s="59">
        <v>1243.85</v>
      </c>
      <c r="L15" s="59">
        <v>1396.15</v>
      </c>
      <c r="M15" s="59">
        <f t="shared" si="2"/>
        <v>152.30000000000018</v>
      </c>
      <c r="N15" s="59">
        <f t="shared" si="3"/>
        <v>12.244241669011553</v>
      </c>
      <c r="O15" s="116">
        <v>7</v>
      </c>
      <c r="Q15" s="117" t="s">
        <v>22</v>
      </c>
      <c r="R15" s="118">
        <v>95.65882468579385</v>
      </c>
      <c r="S15" s="119" t="s">
        <v>279</v>
      </c>
    </row>
    <row r="16" spans="1:19" ht="18" customHeight="1" thickBot="1" thickTop="1">
      <c r="A16" s="20">
        <v>10</v>
      </c>
      <c r="B16" s="85" t="s">
        <v>30</v>
      </c>
      <c r="C16" s="59">
        <v>5538.57</v>
      </c>
      <c r="D16" s="59">
        <v>594.05</v>
      </c>
      <c r="E16" s="59">
        <f t="shared" si="0"/>
        <v>10.725692732961758</v>
      </c>
      <c r="F16" s="116">
        <v>8</v>
      </c>
      <c r="G16" s="59">
        <v>618.31</v>
      </c>
      <c r="H16" s="59">
        <v>594.05</v>
      </c>
      <c r="I16" s="59">
        <f t="shared" si="1"/>
        <v>96.07640180491987</v>
      </c>
      <c r="J16" s="116">
        <v>1</v>
      </c>
      <c r="K16" s="59">
        <v>686.28</v>
      </c>
      <c r="L16" s="59">
        <v>594.05</v>
      </c>
      <c r="M16" s="59">
        <f t="shared" si="2"/>
        <v>-92.23000000000002</v>
      </c>
      <c r="N16" s="59">
        <f t="shared" si="3"/>
        <v>-13.439121058460108</v>
      </c>
      <c r="O16" s="116">
        <v>13</v>
      </c>
      <c r="Q16" s="117" t="s">
        <v>30</v>
      </c>
      <c r="R16" s="118">
        <v>93.36297347942153</v>
      </c>
      <c r="S16" s="119" t="s">
        <v>280</v>
      </c>
    </row>
    <row r="17" spans="1:19" ht="18" customHeight="1" thickBot="1" thickTop="1">
      <c r="A17" s="20">
        <v>11</v>
      </c>
      <c r="B17" s="85" t="s">
        <v>31</v>
      </c>
      <c r="C17" s="59">
        <v>7326.32</v>
      </c>
      <c r="D17" s="59">
        <v>2039.32</v>
      </c>
      <c r="E17" s="59">
        <f t="shared" si="0"/>
        <v>27.83552997958047</v>
      </c>
      <c r="F17" s="116">
        <v>1</v>
      </c>
      <c r="G17" s="59">
        <v>2563.56</v>
      </c>
      <c r="H17" s="59">
        <v>2039.32</v>
      </c>
      <c r="I17" s="59">
        <f t="shared" si="1"/>
        <v>79.55031284619825</v>
      </c>
      <c r="J17" s="116">
        <v>7</v>
      </c>
      <c r="K17" s="59">
        <v>1951.88</v>
      </c>
      <c r="L17" s="59">
        <v>2039.32</v>
      </c>
      <c r="M17" s="59">
        <f t="shared" si="2"/>
        <v>87.43999999999983</v>
      </c>
      <c r="N17" s="59">
        <f t="shared" si="3"/>
        <v>4.479783593253674</v>
      </c>
      <c r="O17" s="116">
        <v>11</v>
      </c>
      <c r="Q17" s="117" t="s">
        <v>29</v>
      </c>
      <c r="R17" s="118">
        <v>83.78144980956104</v>
      </c>
      <c r="S17" s="119" t="s">
        <v>281</v>
      </c>
    </row>
    <row r="18" spans="1:19" ht="18" customHeight="1" thickBot="1" thickTop="1">
      <c r="A18" s="20">
        <v>12</v>
      </c>
      <c r="B18" s="85" t="s">
        <v>32</v>
      </c>
      <c r="C18" s="59">
        <v>5384.44</v>
      </c>
      <c r="D18" s="59">
        <v>394.12</v>
      </c>
      <c r="E18" s="59">
        <f t="shared" si="0"/>
        <v>7.319609838720462</v>
      </c>
      <c r="F18" s="116">
        <v>12</v>
      </c>
      <c r="G18" s="59">
        <v>424.53</v>
      </c>
      <c r="H18" s="59">
        <v>394.12</v>
      </c>
      <c r="I18" s="59">
        <f t="shared" si="1"/>
        <v>92.83678420841873</v>
      </c>
      <c r="J18" s="116">
        <v>2</v>
      </c>
      <c r="K18" s="59">
        <v>336.41</v>
      </c>
      <c r="L18" s="59">
        <v>394.12</v>
      </c>
      <c r="M18" s="59">
        <f t="shared" si="2"/>
        <v>57.70999999999998</v>
      </c>
      <c r="N18" s="59">
        <f t="shared" si="3"/>
        <v>17.154662465443945</v>
      </c>
      <c r="O18" s="116">
        <v>5</v>
      </c>
      <c r="Q18" s="117" t="s">
        <v>21</v>
      </c>
      <c r="R18" s="118">
        <v>80.40810955531298</v>
      </c>
      <c r="S18" s="119" t="s">
        <v>282</v>
      </c>
    </row>
    <row r="19" spans="1:19" ht="18" customHeight="1" thickBot="1" thickTop="1">
      <c r="A19" s="20">
        <v>13</v>
      </c>
      <c r="B19" s="85" t="s">
        <v>33</v>
      </c>
      <c r="C19" s="59">
        <v>6980.56</v>
      </c>
      <c r="D19" s="59">
        <v>1169.47</v>
      </c>
      <c r="E19" s="59">
        <f t="shared" si="0"/>
        <v>16.753240427702075</v>
      </c>
      <c r="F19" s="116">
        <v>5</v>
      </c>
      <c r="G19" s="59">
        <v>1719.1</v>
      </c>
      <c r="H19" s="59">
        <v>1169.47</v>
      </c>
      <c r="I19" s="59">
        <f t="shared" si="1"/>
        <v>68.02803792682218</v>
      </c>
      <c r="J19" s="116">
        <v>10</v>
      </c>
      <c r="K19" s="59">
        <v>1004.42</v>
      </c>
      <c r="L19" s="59">
        <v>1169.47</v>
      </c>
      <c r="M19" s="59">
        <f t="shared" si="2"/>
        <v>165.05000000000007</v>
      </c>
      <c r="N19" s="59">
        <f t="shared" si="3"/>
        <v>16.43236892933236</v>
      </c>
      <c r="O19" s="116">
        <v>6</v>
      </c>
      <c r="Q19" s="117" t="s">
        <v>34</v>
      </c>
      <c r="R19" s="118">
        <v>70.98088084169073</v>
      </c>
      <c r="S19" s="119" t="s">
        <v>283</v>
      </c>
    </row>
    <row r="20" spans="1:19" ht="18" customHeight="1" thickBot="1" thickTop="1">
      <c r="A20" s="20">
        <v>14</v>
      </c>
      <c r="B20" s="85" t="s">
        <v>34</v>
      </c>
      <c r="C20" s="59">
        <v>4263.45</v>
      </c>
      <c r="D20" s="59">
        <v>431.07</v>
      </c>
      <c r="E20" s="59">
        <f t="shared" si="0"/>
        <v>10.110825739717834</v>
      </c>
      <c r="F20" s="116">
        <v>9</v>
      </c>
      <c r="G20" s="59">
        <v>1054.69</v>
      </c>
      <c r="H20" s="59">
        <v>431.07</v>
      </c>
      <c r="I20" s="59">
        <f t="shared" si="1"/>
        <v>40.871725341095484</v>
      </c>
      <c r="J20" s="116">
        <v>14</v>
      </c>
      <c r="K20" s="59">
        <v>359.23</v>
      </c>
      <c r="L20" s="59">
        <v>431.07</v>
      </c>
      <c r="M20" s="59">
        <f t="shared" si="2"/>
        <v>71.83999999999997</v>
      </c>
      <c r="N20" s="59">
        <f t="shared" si="3"/>
        <v>19.99832976087742</v>
      </c>
      <c r="O20" s="116">
        <v>3</v>
      </c>
      <c r="Q20" s="117" t="s">
        <v>27</v>
      </c>
      <c r="R20" s="118">
        <v>30.764547430841354</v>
      </c>
      <c r="S20" s="119" t="s">
        <v>284</v>
      </c>
    </row>
    <row r="21" ht="13.5" thickTop="1"/>
    <row r="22" spans="2:13" ht="14.25">
      <c r="B22" s="120" t="s">
        <v>285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5" spans="1:3" ht="12.75">
      <c r="A25" s="54"/>
      <c r="B25" s="54"/>
      <c r="C25" s="54"/>
    </row>
    <row r="26" spans="1:3" ht="14.25">
      <c r="A26" s="54"/>
      <c r="B26" s="121"/>
      <c r="C26" s="122"/>
    </row>
    <row r="27" spans="1:3" ht="14.25">
      <c r="A27" s="54"/>
      <c r="B27" s="121"/>
      <c r="C27" s="122"/>
    </row>
    <row r="28" spans="1:3" ht="14.25">
      <c r="A28" s="54"/>
      <c r="B28" s="121"/>
      <c r="C28" s="122"/>
    </row>
    <row r="29" spans="1:3" ht="14.25">
      <c r="A29" s="54"/>
      <c r="B29" s="121"/>
      <c r="C29" s="122"/>
    </row>
    <row r="30" spans="1:3" ht="14.25">
      <c r="A30" s="54"/>
      <c r="B30" s="121"/>
      <c r="C30" s="122"/>
    </row>
    <row r="31" spans="1:3" ht="14.25">
      <c r="A31" s="54"/>
      <c r="B31" s="121"/>
      <c r="C31" s="122"/>
    </row>
    <row r="32" spans="1:3" ht="14.25">
      <c r="A32" s="54"/>
      <c r="B32" s="121"/>
      <c r="C32" s="122"/>
    </row>
    <row r="33" spans="1:3" ht="14.25">
      <c r="A33" s="54"/>
      <c r="B33" s="121"/>
      <c r="C33" s="122"/>
    </row>
    <row r="34" spans="1:3" ht="14.25">
      <c r="A34" s="54"/>
      <c r="B34" s="121"/>
      <c r="C34" s="122"/>
    </row>
    <row r="35" spans="1:3" ht="14.25">
      <c r="A35" s="54"/>
      <c r="B35" s="121"/>
      <c r="C35" s="122"/>
    </row>
    <row r="36" spans="1:3" ht="14.25">
      <c r="A36" s="54"/>
      <c r="B36" s="121"/>
      <c r="C36" s="122"/>
    </row>
    <row r="37" spans="1:3" ht="14.25">
      <c r="A37" s="54"/>
      <c r="B37" s="121"/>
      <c r="C37" s="122"/>
    </row>
    <row r="38" spans="1:3" ht="14.25">
      <c r="A38" s="54"/>
      <c r="B38" s="121"/>
      <c r="C38" s="122"/>
    </row>
    <row r="39" spans="1:3" ht="14.25">
      <c r="A39" s="54"/>
      <c r="B39" s="121"/>
      <c r="C39" s="122"/>
    </row>
    <row r="42" spans="1:7" ht="14.25">
      <c r="A42" s="54"/>
      <c r="B42" s="54"/>
      <c r="C42" s="54"/>
      <c r="D42" s="123"/>
      <c r="E42" s="122"/>
      <c r="F42" s="123"/>
      <c r="G42" s="122"/>
    </row>
    <row r="43" spans="1:7" ht="14.25">
      <c r="A43" s="54"/>
      <c r="B43" s="121"/>
      <c r="C43" s="122"/>
      <c r="D43" s="121"/>
      <c r="E43" s="122"/>
      <c r="F43" s="121"/>
      <c r="G43" s="122"/>
    </row>
    <row r="44" spans="1:7" ht="14.25">
      <c r="A44" s="54"/>
      <c r="B44" s="121"/>
      <c r="C44" s="122"/>
      <c r="D44" s="121"/>
      <c r="E44" s="122"/>
      <c r="F44" s="121"/>
      <c r="G44" s="122"/>
    </row>
    <row r="45" spans="1:7" ht="14.25">
      <c r="A45" s="54"/>
      <c r="B45" s="121"/>
      <c r="C45" s="122"/>
      <c r="D45" s="121"/>
      <c r="E45" s="122"/>
      <c r="F45" s="121"/>
      <c r="G45" s="122"/>
    </row>
    <row r="46" spans="1:7" ht="14.25">
      <c r="A46" s="54"/>
      <c r="B46" s="121"/>
      <c r="C46" s="122"/>
      <c r="D46" s="121"/>
      <c r="E46" s="122"/>
      <c r="F46" s="121"/>
      <c r="G46" s="122"/>
    </row>
    <row r="47" spans="1:7" ht="14.25">
      <c r="A47" s="54"/>
      <c r="B47" s="121"/>
      <c r="C47" s="122"/>
      <c r="D47" s="121"/>
      <c r="E47" s="122"/>
      <c r="F47" s="121"/>
      <c r="G47" s="122"/>
    </row>
    <row r="48" spans="1:7" ht="14.25">
      <c r="A48" s="54"/>
      <c r="B48" s="121"/>
      <c r="C48" s="122"/>
      <c r="D48" s="121"/>
      <c r="E48" s="122"/>
      <c r="F48" s="121"/>
      <c r="G48" s="122"/>
    </row>
    <row r="49" spans="1:7" ht="14.25">
      <c r="A49" s="54"/>
      <c r="B49" s="121"/>
      <c r="C49" s="122"/>
      <c r="D49" s="121"/>
      <c r="E49" s="122"/>
      <c r="F49" s="121"/>
      <c r="G49" s="122"/>
    </row>
    <row r="50" spans="1:7" ht="14.25">
      <c r="A50" s="54"/>
      <c r="B50" s="121"/>
      <c r="C50" s="122"/>
      <c r="D50" s="121"/>
      <c r="E50" s="122"/>
      <c r="F50" s="121"/>
      <c r="G50" s="122"/>
    </row>
    <row r="51" spans="1:7" ht="14.25">
      <c r="A51" s="54"/>
      <c r="B51" s="121"/>
      <c r="C51" s="122"/>
      <c r="D51" s="121"/>
      <c r="E51" s="122"/>
      <c r="F51" s="121"/>
      <c r="G51" s="122"/>
    </row>
    <row r="52" spans="1:7" ht="14.25">
      <c r="A52" s="54"/>
      <c r="B52" s="121"/>
      <c r="C52" s="122"/>
      <c r="D52" s="121"/>
      <c r="E52" s="122"/>
      <c r="F52" s="121"/>
      <c r="G52" s="122"/>
    </row>
    <row r="53" spans="1:7" ht="14.25">
      <c r="A53" s="54"/>
      <c r="B53" s="121"/>
      <c r="C53" s="122"/>
      <c r="D53" s="121"/>
      <c r="E53" s="122"/>
      <c r="F53" s="121"/>
      <c r="G53" s="122"/>
    </row>
    <row r="54" spans="1:13" ht="14.25">
      <c r="A54" s="54"/>
      <c r="B54" s="121"/>
      <c r="C54" s="122"/>
      <c r="D54" s="121"/>
      <c r="E54" s="122"/>
      <c r="F54" s="121"/>
      <c r="G54" s="122"/>
      <c r="K54" t="s">
        <v>286</v>
      </c>
      <c r="L54" t="s">
        <v>287</v>
      </c>
      <c r="M54" t="s">
        <v>288</v>
      </c>
    </row>
    <row r="55" spans="1:13" ht="14.25">
      <c r="A55" s="54"/>
      <c r="B55" s="121"/>
      <c r="C55" s="122"/>
      <c r="D55" s="121"/>
      <c r="E55" s="122"/>
      <c r="F55" s="121"/>
      <c r="G55" s="122"/>
      <c r="K55" s="20">
        <v>1</v>
      </c>
      <c r="L55" s="85" t="s">
        <v>28</v>
      </c>
      <c r="M55" s="65">
        <v>135.88858090306786</v>
      </c>
    </row>
    <row r="56" spans="1:13" ht="14.25">
      <c r="A56" s="54"/>
      <c r="B56" s="121"/>
      <c r="C56" s="122"/>
      <c r="D56" s="121"/>
      <c r="E56" s="122"/>
      <c r="F56" s="121"/>
      <c r="G56" s="122"/>
      <c r="K56" s="20">
        <v>2</v>
      </c>
      <c r="L56" s="85" t="s">
        <v>23</v>
      </c>
      <c r="M56" s="65">
        <v>120.93286953654523</v>
      </c>
    </row>
    <row r="57" spans="1:13" ht="14.25">
      <c r="A57" s="54"/>
      <c r="B57" s="54"/>
      <c r="C57" s="54"/>
      <c r="D57" s="54"/>
      <c r="E57" s="54"/>
      <c r="F57" s="54"/>
      <c r="G57" s="54"/>
      <c r="K57" s="20">
        <v>3</v>
      </c>
      <c r="L57" s="85" t="s">
        <v>24</v>
      </c>
      <c r="M57" s="65">
        <v>117.97557905186522</v>
      </c>
    </row>
    <row r="58" spans="1:13" ht="14.25">
      <c r="A58" s="54"/>
      <c r="B58" s="54"/>
      <c r="C58" s="54"/>
      <c r="D58" s="54"/>
      <c r="E58" s="54"/>
      <c r="F58" s="54"/>
      <c r="G58" s="54"/>
      <c r="K58" s="20">
        <v>4</v>
      </c>
      <c r="L58" s="85" t="s">
        <v>32</v>
      </c>
      <c r="M58" s="65">
        <v>117.31105651258315</v>
      </c>
    </row>
    <row r="59" spans="3:13" ht="14.25">
      <c r="C59" s="54"/>
      <c r="D59" s="54"/>
      <c r="E59" s="54"/>
      <c r="F59" s="54"/>
      <c r="G59" s="54"/>
      <c r="K59" s="20">
        <v>5</v>
      </c>
      <c r="L59" s="85" t="s">
        <v>25</v>
      </c>
      <c r="M59" s="65">
        <v>116.91244042102699</v>
      </c>
    </row>
    <row r="60" spans="3:13" ht="14.25">
      <c r="C60" s="54"/>
      <c r="D60" s="54"/>
      <c r="E60" s="54"/>
      <c r="F60" s="54"/>
      <c r="G60" s="54"/>
      <c r="K60" s="20">
        <v>6</v>
      </c>
      <c r="L60" s="85" t="s">
        <v>31</v>
      </c>
      <c r="M60" s="65">
        <v>111.8656264190324</v>
      </c>
    </row>
    <row r="61" spans="3:13" ht="14.25">
      <c r="C61" s="54"/>
      <c r="D61" s="54"/>
      <c r="E61" s="54"/>
      <c r="F61" s="54"/>
      <c r="G61" s="54"/>
      <c r="K61" s="20">
        <v>7</v>
      </c>
      <c r="L61" s="85" t="s">
        <v>33</v>
      </c>
      <c r="M61" s="65">
        <v>101.21364728385662</v>
      </c>
    </row>
    <row r="62" spans="3:13" ht="14.25">
      <c r="C62" s="54"/>
      <c r="D62" s="54"/>
      <c r="E62" s="54"/>
      <c r="F62" s="54"/>
      <c r="G62" s="54"/>
      <c r="K62" s="20">
        <v>8</v>
      </c>
      <c r="L62" s="85" t="s">
        <v>26</v>
      </c>
      <c r="M62" s="65">
        <v>97.59696057600144</v>
      </c>
    </row>
    <row r="63" spans="3:13" ht="14.25">
      <c r="C63" s="54"/>
      <c r="D63" s="54"/>
      <c r="E63" s="54"/>
      <c r="F63" s="54"/>
      <c r="G63" s="54"/>
      <c r="K63" s="20">
        <v>9</v>
      </c>
      <c r="L63" s="85" t="s">
        <v>22</v>
      </c>
      <c r="M63" s="65">
        <v>95.65882468579385</v>
      </c>
    </row>
    <row r="64" spans="3:13" ht="14.25">
      <c r="C64" s="54"/>
      <c r="D64" s="54"/>
      <c r="E64" s="54"/>
      <c r="F64" s="54"/>
      <c r="G64" s="54"/>
      <c r="K64" s="20">
        <v>10</v>
      </c>
      <c r="L64" s="85" t="s">
        <v>30</v>
      </c>
      <c r="M64" s="65">
        <v>93.36297347942153</v>
      </c>
    </row>
    <row r="65" spans="3:13" ht="14.25">
      <c r="C65" s="54"/>
      <c r="D65" s="54"/>
      <c r="E65" s="54"/>
      <c r="F65" s="54"/>
      <c r="G65" s="54"/>
      <c r="K65" s="20">
        <v>11</v>
      </c>
      <c r="L65" s="85" t="s">
        <v>29</v>
      </c>
      <c r="M65" s="65">
        <v>83.78144980956104</v>
      </c>
    </row>
    <row r="66" spans="3:13" ht="14.25">
      <c r="C66" s="54"/>
      <c r="D66" s="54"/>
      <c r="E66" s="54"/>
      <c r="F66" s="54"/>
      <c r="G66" s="54"/>
      <c r="K66" s="20">
        <v>12</v>
      </c>
      <c r="L66" s="85" t="s">
        <v>21</v>
      </c>
      <c r="M66" s="65">
        <v>80.40810955531298</v>
      </c>
    </row>
    <row r="67" spans="3:13" ht="14.25">
      <c r="C67" s="54"/>
      <c r="D67" s="54"/>
      <c r="E67" s="54"/>
      <c r="F67" s="54"/>
      <c r="G67" s="54"/>
      <c r="K67" s="20">
        <v>13</v>
      </c>
      <c r="L67" s="85" t="s">
        <v>34</v>
      </c>
      <c r="M67" s="65">
        <v>70.98088084169073</v>
      </c>
    </row>
    <row r="68" spans="3:13" ht="14.25">
      <c r="C68" s="54"/>
      <c r="D68" s="54"/>
      <c r="E68" s="54"/>
      <c r="F68" s="54"/>
      <c r="G68" s="54"/>
      <c r="K68" s="20">
        <v>14</v>
      </c>
      <c r="L68" s="85" t="s">
        <v>27</v>
      </c>
      <c r="M68" s="65">
        <v>30.764547430841354</v>
      </c>
    </row>
    <row r="69" spans="3:7" ht="12.75">
      <c r="C69" s="54"/>
      <c r="D69" s="54"/>
      <c r="E69" s="54"/>
      <c r="F69" s="54"/>
      <c r="G69" s="54"/>
    </row>
    <row r="70" spans="3:7" ht="12.75">
      <c r="C70" s="54"/>
      <c r="D70" s="54"/>
      <c r="E70" s="54"/>
      <c r="F70" s="54"/>
      <c r="G70" s="54"/>
    </row>
    <row r="71" spans="3:7" ht="12.75">
      <c r="C71" s="54"/>
      <c r="D71" s="54"/>
      <c r="E71" s="54"/>
      <c r="F71" s="54"/>
      <c r="G71" s="54"/>
    </row>
    <row r="72" spans="3:7" ht="12.75">
      <c r="C72" s="54"/>
      <c r="D72" s="54"/>
      <c r="E72" s="54"/>
      <c r="F72" s="54"/>
      <c r="G72" s="54"/>
    </row>
    <row r="73" spans="3:7" ht="12.75">
      <c r="C73" s="54"/>
      <c r="D73" s="54"/>
      <c r="E73" s="54"/>
      <c r="F73" s="54"/>
      <c r="G73" s="54"/>
    </row>
    <row r="74" spans="3:7" ht="12.75">
      <c r="C74" s="54"/>
      <c r="D74" s="54"/>
      <c r="E74" s="54"/>
      <c r="F74" s="54"/>
      <c r="G74" s="54"/>
    </row>
    <row r="75" spans="3:7" ht="12.75">
      <c r="C75" s="54"/>
      <c r="D75" s="54"/>
      <c r="E75" s="54"/>
      <c r="F75" s="54"/>
      <c r="G75" s="54"/>
    </row>
    <row r="76" spans="3:7" ht="12.75">
      <c r="C76" s="54"/>
      <c r="D76" s="54"/>
      <c r="E76" s="54"/>
      <c r="F76" s="54"/>
      <c r="G76" s="54"/>
    </row>
    <row r="77" spans="3:7" ht="12.75">
      <c r="C77" s="54"/>
      <c r="D77" s="54"/>
      <c r="E77" s="54"/>
      <c r="F77" s="54"/>
      <c r="G77" s="54"/>
    </row>
    <row r="78" spans="3:7" ht="12.75">
      <c r="C78" s="54"/>
      <c r="D78" s="54"/>
      <c r="E78" s="54"/>
      <c r="F78" s="54"/>
      <c r="G78" s="54"/>
    </row>
    <row r="79" spans="3:7" ht="12.75">
      <c r="C79" s="54"/>
      <c r="D79" s="54"/>
      <c r="E79" s="54"/>
      <c r="F79" s="54"/>
      <c r="G79" s="54"/>
    </row>
    <row r="80" spans="3:7" ht="12.75">
      <c r="C80" s="54"/>
      <c r="D80" s="54"/>
      <c r="E80" s="54"/>
      <c r="F80" s="54"/>
      <c r="G80" s="54"/>
    </row>
    <row r="81" spans="3:7" ht="12.75">
      <c r="C81" s="54"/>
      <c r="D81" s="54"/>
      <c r="E81" s="54"/>
      <c r="F81" s="54"/>
      <c r="G81" s="54"/>
    </row>
    <row r="82" spans="3:7" ht="12.75">
      <c r="C82" s="54"/>
      <c r="D82" s="54"/>
      <c r="E82" s="54"/>
      <c r="F82" s="54"/>
      <c r="G82" s="54"/>
    </row>
    <row r="83" spans="3:7" ht="12.75">
      <c r="C83" s="54"/>
      <c r="D83" s="54"/>
      <c r="E83" s="54"/>
      <c r="F83" s="54"/>
      <c r="G83" s="54"/>
    </row>
    <row r="84" spans="3:7" ht="12.75">
      <c r="C84" s="54"/>
      <c r="D84" s="54"/>
      <c r="E84" s="54"/>
      <c r="F84" s="54"/>
      <c r="G84" s="54"/>
    </row>
    <row r="85" spans="3:7" ht="12.75">
      <c r="C85" s="54"/>
      <c r="D85" s="54"/>
      <c r="E85" s="54"/>
      <c r="F85" s="54"/>
      <c r="G85" s="54"/>
    </row>
    <row r="86" spans="3:7" ht="12.75">
      <c r="C86" s="54"/>
      <c r="D86" s="54"/>
      <c r="E86" s="54"/>
      <c r="F86" s="54"/>
      <c r="G86" s="54"/>
    </row>
    <row r="87" spans="2:7" ht="12.75">
      <c r="B87" t="s">
        <v>286</v>
      </c>
      <c r="C87" s="54"/>
      <c r="D87" s="54"/>
      <c r="E87" s="54"/>
      <c r="F87" s="54"/>
      <c r="G87" s="54"/>
    </row>
    <row r="88" spans="1:7" ht="14.25">
      <c r="A88">
        <v>1</v>
      </c>
      <c r="B88" s="124" t="s">
        <v>28</v>
      </c>
      <c r="C88" s="122"/>
      <c r="D88" s="54"/>
      <c r="E88" s="54"/>
      <c r="F88" s="54"/>
      <c r="G88" s="54"/>
    </row>
    <row r="89" spans="1:7" ht="14.25">
      <c r="A89">
        <v>2</v>
      </c>
      <c r="B89" s="124" t="s">
        <v>23</v>
      </c>
      <c r="C89" s="122"/>
      <c r="D89" s="54"/>
      <c r="E89" s="54"/>
      <c r="F89" s="54"/>
      <c r="G89" s="54"/>
    </row>
    <row r="90" spans="1:7" ht="14.25">
      <c r="A90">
        <v>3</v>
      </c>
      <c r="B90" s="124" t="s">
        <v>24</v>
      </c>
      <c r="C90" s="122"/>
      <c r="D90" s="54"/>
      <c r="E90" s="54"/>
      <c r="F90" s="54"/>
      <c r="G90" s="54"/>
    </row>
    <row r="91" spans="1:7" ht="14.25">
      <c r="A91">
        <v>4</v>
      </c>
      <c r="B91" s="124" t="s">
        <v>32</v>
      </c>
      <c r="C91" s="122"/>
      <c r="D91" s="54"/>
      <c r="E91" s="54"/>
      <c r="F91" s="54"/>
      <c r="G91" s="54"/>
    </row>
    <row r="92" spans="1:7" ht="14.25">
      <c r="A92">
        <v>5</v>
      </c>
      <c r="B92" s="124" t="s">
        <v>25</v>
      </c>
      <c r="C92" s="122"/>
      <c r="D92" s="54"/>
      <c r="E92" s="54"/>
      <c r="F92" s="54"/>
      <c r="G92" s="54"/>
    </row>
    <row r="93" spans="1:7" ht="14.25">
      <c r="A93">
        <v>6</v>
      </c>
      <c r="B93" s="124" t="s">
        <v>31</v>
      </c>
      <c r="C93" s="122"/>
      <c r="D93" s="54"/>
      <c r="E93" s="54"/>
      <c r="F93" s="54"/>
      <c r="G93" s="54"/>
    </row>
    <row r="94" spans="1:7" ht="14.25">
      <c r="A94">
        <v>7</v>
      </c>
      <c r="B94" s="124" t="s">
        <v>33</v>
      </c>
      <c r="C94" s="122"/>
      <c r="D94" s="54"/>
      <c r="E94" s="54"/>
      <c r="F94" s="54"/>
      <c r="G94" s="54"/>
    </row>
    <row r="95" spans="1:7" ht="14.25">
      <c r="A95">
        <v>8</v>
      </c>
      <c r="B95" s="124" t="s">
        <v>26</v>
      </c>
      <c r="C95" s="122"/>
      <c r="D95" s="54"/>
      <c r="E95" s="54"/>
      <c r="F95" s="54"/>
      <c r="G95" s="54"/>
    </row>
    <row r="96" spans="1:7" ht="14.25">
      <c r="A96">
        <v>9</v>
      </c>
      <c r="B96" s="124" t="s">
        <v>22</v>
      </c>
      <c r="C96" s="122"/>
      <c r="D96" s="54"/>
      <c r="E96" s="54"/>
      <c r="F96" s="54"/>
      <c r="G96" s="54"/>
    </row>
    <row r="97" spans="1:7" ht="14.25">
      <c r="A97">
        <v>10</v>
      </c>
      <c r="B97" s="124" t="s">
        <v>30</v>
      </c>
      <c r="C97" s="122"/>
      <c r="D97" s="54"/>
      <c r="E97" s="54"/>
      <c r="F97" s="54"/>
      <c r="G97" s="54"/>
    </row>
    <row r="98" spans="1:7" ht="14.25">
      <c r="A98">
        <v>11</v>
      </c>
      <c r="B98" s="124" t="s">
        <v>29</v>
      </c>
      <c r="C98" s="122"/>
      <c r="D98" s="54"/>
      <c r="E98" s="54"/>
      <c r="F98" s="54"/>
      <c r="G98" s="54"/>
    </row>
    <row r="99" spans="1:7" ht="14.25">
      <c r="A99">
        <v>12</v>
      </c>
      <c r="B99" s="124" t="s">
        <v>21</v>
      </c>
      <c r="C99" s="122"/>
      <c r="D99" s="54"/>
      <c r="E99" s="54"/>
      <c r="F99" s="54"/>
      <c r="G99" s="54"/>
    </row>
    <row r="100" spans="1:7" ht="14.25">
      <c r="A100">
        <v>13</v>
      </c>
      <c r="B100" s="124" t="s">
        <v>34</v>
      </c>
      <c r="C100" s="122"/>
      <c r="D100" s="54"/>
      <c r="E100" s="54"/>
      <c r="F100" s="54"/>
      <c r="G100" s="54"/>
    </row>
    <row r="101" spans="1:7" ht="14.25">
      <c r="A101">
        <v>14</v>
      </c>
      <c r="B101" s="124" t="s">
        <v>27</v>
      </c>
      <c r="C101" s="122"/>
      <c r="D101" s="54"/>
      <c r="E101" s="54"/>
      <c r="F101" s="54"/>
      <c r="G101" s="54"/>
    </row>
    <row r="102" spans="3:7" ht="12.75">
      <c r="C102" s="54"/>
      <c r="D102" s="54"/>
      <c r="E102" s="54"/>
      <c r="F102" s="54"/>
      <c r="G102" s="54"/>
    </row>
    <row r="103" spans="3:7" ht="12.75">
      <c r="C103" s="54"/>
      <c r="D103" s="54"/>
      <c r="E103" s="54"/>
      <c r="F103" s="54"/>
      <c r="G103" s="54"/>
    </row>
    <row r="104" spans="2:7" ht="12.75">
      <c r="B104" t="s">
        <v>286</v>
      </c>
      <c r="C104" s="54"/>
      <c r="D104" s="54"/>
      <c r="E104" s="54"/>
      <c r="F104" s="54"/>
      <c r="G104" s="54"/>
    </row>
    <row r="105" spans="1:7" ht="14.25">
      <c r="A105">
        <v>1</v>
      </c>
      <c r="B105" s="124" t="s">
        <v>27</v>
      </c>
      <c r="C105" s="122"/>
      <c r="D105" s="54"/>
      <c r="E105" s="54"/>
      <c r="F105" s="54"/>
      <c r="G105" s="54"/>
    </row>
    <row r="106" spans="1:7" ht="14.25">
      <c r="A106">
        <v>2</v>
      </c>
      <c r="B106" s="124" t="s">
        <v>29</v>
      </c>
      <c r="C106" s="122"/>
      <c r="D106" s="54"/>
      <c r="E106" s="54"/>
      <c r="F106" s="54"/>
      <c r="G106" s="54"/>
    </row>
    <row r="107" spans="1:7" ht="14.25">
      <c r="A107">
        <v>3</v>
      </c>
      <c r="B107" s="124" t="s">
        <v>21</v>
      </c>
      <c r="C107" s="122"/>
      <c r="D107" s="54"/>
      <c r="E107" s="54"/>
      <c r="F107" s="54"/>
      <c r="G107" s="54"/>
    </row>
    <row r="108" spans="1:7" ht="14.25">
      <c r="A108">
        <v>4</v>
      </c>
      <c r="B108" s="124" t="s">
        <v>22</v>
      </c>
      <c r="C108" s="122"/>
      <c r="D108" s="54"/>
      <c r="E108" s="54"/>
      <c r="F108" s="54"/>
      <c r="G108" s="54"/>
    </row>
    <row r="109" spans="1:7" ht="14.25">
      <c r="A109">
        <v>5</v>
      </c>
      <c r="B109" s="124" t="s">
        <v>34</v>
      </c>
      <c r="C109" s="122"/>
      <c r="D109" s="54"/>
      <c r="E109" s="54"/>
      <c r="F109" s="54"/>
      <c r="G109" s="54"/>
    </row>
    <row r="110" spans="1:7" ht="14.25">
      <c r="A110">
        <v>6</v>
      </c>
      <c r="B110" s="124" t="s">
        <v>26</v>
      </c>
      <c r="C110" s="122"/>
      <c r="D110" s="54"/>
      <c r="E110" s="54"/>
      <c r="F110" s="54"/>
      <c r="G110" s="54"/>
    </row>
    <row r="111" spans="1:7" ht="14.25">
      <c r="A111">
        <v>7</v>
      </c>
      <c r="B111" s="124" t="s">
        <v>30</v>
      </c>
      <c r="C111" s="122"/>
      <c r="D111" s="54"/>
      <c r="E111" s="54"/>
      <c r="F111" s="54"/>
      <c r="G111" s="54"/>
    </row>
    <row r="112" spans="1:7" ht="14.25">
      <c r="A112">
        <v>8</v>
      </c>
      <c r="B112" s="124" t="s">
        <v>33</v>
      </c>
      <c r="C112" s="122"/>
      <c r="D112" s="54"/>
      <c r="E112" s="54"/>
      <c r="F112" s="54"/>
      <c r="G112" s="54"/>
    </row>
    <row r="113" spans="1:7" ht="14.25">
      <c r="A113">
        <v>9</v>
      </c>
      <c r="B113" s="124" t="s">
        <v>31</v>
      </c>
      <c r="C113" s="122"/>
      <c r="D113" s="54"/>
      <c r="E113" s="54"/>
      <c r="F113" s="54"/>
      <c r="G113" s="54"/>
    </row>
    <row r="114" spans="1:7" ht="14.25">
      <c r="A114">
        <v>10</v>
      </c>
      <c r="B114" s="124" t="s">
        <v>32</v>
      </c>
      <c r="C114" s="122"/>
      <c r="D114" s="54"/>
      <c r="E114" s="54"/>
      <c r="F114" s="54"/>
      <c r="G114" s="54"/>
    </row>
    <row r="115" spans="1:7" ht="14.25">
      <c r="A115">
        <v>11</v>
      </c>
      <c r="B115" s="124" t="s">
        <v>24</v>
      </c>
      <c r="C115" s="122"/>
      <c r="D115" s="54"/>
      <c r="E115" s="54"/>
      <c r="F115" s="54"/>
      <c r="G115" s="54"/>
    </row>
    <row r="116" spans="1:7" ht="14.25">
      <c r="A116">
        <v>12</v>
      </c>
      <c r="B116" s="124" t="s">
        <v>25</v>
      </c>
      <c r="C116" s="122"/>
      <c r="D116" s="54"/>
      <c r="E116" s="54"/>
      <c r="F116" s="54"/>
      <c r="G116" s="54"/>
    </row>
    <row r="117" spans="1:7" ht="14.25">
      <c r="A117">
        <v>13</v>
      </c>
      <c r="B117" s="124" t="s">
        <v>23</v>
      </c>
      <c r="C117" s="122"/>
      <c r="D117" s="54"/>
      <c r="E117" s="54"/>
      <c r="F117" s="54"/>
      <c r="G117" s="54"/>
    </row>
    <row r="118" spans="1:7" ht="14.25">
      <c r="A118">
        <v>14</v>
      </c>
      <c r="B118" s="124" t="s">
        <v>28</v>
      </c>
      <c r="C118" s="122"/>
      <c r="D118" s="54"/>
      <c r="E118" s="54"/>
      <c r="F118" s="54"/>
      <c r="G118" s="54"/>
    </row>
    <row r="119" spans="3:7" ht="12.75">
      <c r="C119" s="54"/>
      <c r="D119" s="54"/>
      <c r="E119" s="54"/>
      <c r="F119" s="54"/>
      <c r="G119" s="54"/>
    </row>
    <row r="120" spans="3:7" ht="12.75">
      <c r="C120" s="54"/>
      <c r="D120" s="54"/>
      <c r="E120" s="54"/>
      <c r="F120" s="54"/>
      <c r="G120" s="54"/>
    </row>
    <row r="121" spans="3:7" ht="12.75">
      <c r="C121" s="54"/>
      <c r="D121" s="54"/>
      <c r="E121" s="54"/>
      <c r="F121" s="54"/>
      <c r="G121" s="54"/>
    </row>
    <row r="122" spans="3:7" ht="12.75">
      <c r="C122" s="54"/>
      <c r="D122" s="54"/>
      <c r="E122" s="54"/>
      <c r="F122" s="54"/>
      <c r="G122" s="54"/>
    </row>
    <row r="123" spans="3:7" ht="12.75">
      <c r="C123" s="54"/>
      <c r="D123" s="54"/>
      <c r="E123" s="54"/>
      <c r="F123" s="54"/>
      <c r="G123" s="54"/>
    </row>
    <row r="124" spans="3:7" ht="12.75">
      <c r="C124" s="54"/>
      <c r="D124" s="54"/>
      <c r="E124" s="54"/>
      <c r="F124" s="54"/>
      <c r="G124" s="54"/>
    </row>
    <row r="125" spans="3:7" ht="12.75">
      <c r="C125" s="54"/>
      <c r="D125" s="54"/>
      <c r="E125" s="54"/>
      <c r="F125" s="54"/>
      <c r="G125" s="54"/>
    </row>
    <row r="126" spans="3:7" ht="12.75">
      <c r="C126" s="54"/>
      <c r="D126" s="54"/>
      <c r="E126" s="54"/>
      <c r="F126" s="54"/>
      <c r="G126" s="54"/>
    </row>
    <row r="127" spans="3:7" ht="12.75">
      <c r="C127" s="54"/>
      <c r="D127" s="54"/>
      <c r="E127" s="54"/>
      <c r="F127" s="54"/>
      <c r="G127" s="54"/>
    </row>
    <row r="128" spans="3:7" ht="12.75">
      <c r="C128" s="54"/>
      <c r="D128" s="54"/>
      <c r="E128" s="54"/>
      <c r="F128" s="54"/>
      <c r="G128" s="54"/>
    </row>
    <row r="129" spans="3:7" ht="12.75">
      <c r="C129" s="54"/>
      <c r="D129" s="54"/>
      <c r="E129" s="54"/>
      <c r="F129" s="54"/>
      <c r="G129" s="54"/>
    </row>
    <row r="130" spans="3:7" ht="12.75">
      <c r="C130" s="54"/>
      <c r="D130" s="54"/>
      <c r="E130" s="54"/>
      <c r="F130" s="54"/>
      <c r="G130" s="54"/>
    </row>
    <row r="131" spans="3:7" ht="12.75">
      <c r="C131" s="54"/>
      <c r="D131" s="54"/>
      <c r="E131" s="54"/>
      <c r="F131" s="54"/>
      <c r="G131" s="54"/>
    </row>
    <row r="132" spans="3:7" ht="12.75">
      <c r="C132" s="54"/>
      <c r="D132" s="54"/>
      <c r="E132" s="54"/>
      <c r="F132" s="54"/>
      <c r="G132" s="54"/>
    </row>
    <row r="133" spans="3:7" ht="12.75">
      <c r="C133" s="54"/>
      <c r="D133" s="54"/>
      <c r="E133" s="54"/>
      <c r="F133" s="54"/>
      <c r="G133" s="54"/>
    </row>
    <row r="134" spans="3:7" ht="12.75">
      <c r="C134" s="54"/>
      <c r="D134" s="54"/>
      <c r="E134" s="54"/>
      <c r="F134" s="54"/>
      <c r="G134" s="54"/>
    </row>
    <row r="135" spans="3:7" ht="12.75">
      <c r="C135" s="54"/>
      <c r="D135" s="54"/>
      <c r="E135" s="54"/>
      <c r="F135" s="54"/>
      <c r="G135" s="54"/>
    </row>
    <row r="136" spans="3:7" ht="12.75">
      <c r="C136" s="54"/>
      <c r="D136" s="54"/>
      <c r="E136" s="54"/>
      <c r="F136" s="54"/>
      <c r="G136" s="54"/>
    </row>
    <row r="137" spans="3:7" ht="12.75">
      <c r="C137" s="54"/>
      <c r="D137" s="54"/>
      <c r="E137" s="54"/>
      <c r="F137" s="54"/>
      <c r="G137" s="54"/>
    </row>
    <row r="138" spans="3:7" ht="12.75">
      <c r="C138" s="54"/>
      <c r="D138" s="54"/>
      <c r="E138" s="54"/>
      <c r="F138" s="54"/>
      <c r="G138" s="54"/>
    </row>
    <row r="139" spans="3:7" ht="12.75">
      <c r="C139" s="54"/>
      <c r="D139" s="54"/>
      <c r="E139" s="54"/>
      <c r="F139" s="54"/>
      <c r="G139" s="54"/>
    </row>
    <row r="140" spans="3:7" ht="12.75">
      <c r="C140" s="54"/>
      <c r="D140" s="54"/>
      <c r="E140" s="54"/>
      <c r="F140" s="54"/>
      <c r="G140" s="54"/>
    </row>
    <row r="141" spans="3:7" ht="12.75">
      <c r="C141" s="54"/>
      <c r="D141" s="54"/>
      <c r="E141" s="54"/>
      <c r="F141" s="54"/>
      <c r="G141" s="54"/>
    </row>
    <row r="142" spans="3:7" ht="12.75">
      <c r="C142" s="54"/>
      <c r="D142" s="54"/>
      <c r="E142" s="54"/>
      <c r="F142" s="54"/>
      <c r="G142" s="54"/>
    </row>
    <row r="143" spans="3:7" ht="12.75">
      <c r="C143" s="54"/>
      <c r="D143" s="54"/>
      <c r="E143" s="54"/>
      <c r="F143" s="54"/>
      <c r="G143" s="54"/>
    </row>
    <row r="144" spans="3:7" ht="12.75">
      <c r="C144" s="54"/>
      <c r="D144" s="54"/>
      <c r="E144" s="54"/>
      <c r="F144" s="54"/>
      <c r="G144" s="54"/>
    </row>
    <row r="145" spans="3:7" ht="12.75">
      <c r="C145" s="54"/>
      <c r="D145" s="54"/>
      <c r="E145" s="54"/>
      <c r="F145" s="54"/>
      <c r="G145" s="54"/>
    </row>
    <row r="146" spans="3:7" ht="12.75">
      <c r="C146" s="54"/>
      <c r="D146" s="54"/>
      <c r="E146" s="54"/>
      <c r="F146" s="54"/>
      <c r="G146" s="54"/>
    </row>
    <row r="147" spans="3:7" ht="12.75">
      <c r="C147" s="54"/>
      <c r="D147" s="54"/>
      <c r="E147" s="54"/>
      <c r="F147" s="54"/>
      <c r="G147" s="54"/>
    </row>
  </sheetData>
  <mergeCells count="11">
    <mergeCell ref="Q4:Q5"/>
    <mergeCell ref="R4:R5"/>
    <mergeCell ref="S4:S5"/>
    <mergeCell ref="A1:S1"/>
    <mergeCell ref="A2:S2"/>
    <mergeCell ref="A3:S3"/>
    <mergeCell ref="A4:A5"/>
    <mergeCell ref="B4:B5"/>
    <mergeCell ref="C4:F4"/>
    <mergeCell ref="G4:J4"/>
    <mergeCell ref="K4:O4"/>
  </mergeCells>
  <printOptions/>
  <pageMargins left="0.29" right="0.21" top="1" bottom="1" header="0.5" footer="0.5"/>
  <pageSetup horizontalDpi="300" verticalDpi="3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J19" sqref="J19"/>
    </sheetView>
  </sheetViews>
  <sheetFormatPr defaultColWidth="9.140625" defaultRowHeight="12.75"/>
  <cols>
    <col min="1" max="1" width="3.8515625" style="0" customWidth="1"/>
    <col min="2" max="2" width="7.421875" style="0" customWidth="1"/>
    <col min="3" max="3" width="8.140625" style="0" customWidth="1"/>
    <col min="5" max="5" width="6.421875" style="0" customWidth="1"/>
    <col min="6" max="6" width="5.57421875" style="0" customWidth="1"/>
    <col min="7" max="7" width="9.7109375" style="0" customWidth="1"/>
    <col min="9" max="9" width="7.57421875" style="0" customWidth="1"/>
    <col min="10" max="10" width="5.7109375" style="0" customWidth="1"/>
    <col min="14" max="14" width="7.57421875" style="0" customWidth="1"/>
    <col min="15" max="15" width="5.57421875" style="0" customWidth="1"/>
    <col min="16" max="16" width="1.8515625" style="0" customWidth="1"/>
    <col min="17" max="17" width="7.28125" style="0" customWidth="1"/>
    <col min="18" max="18" width="11.421875" style="0" customWidth="1"/>
    <col min="19" max="19" width="8.140625" style="0" customWidth="1"/>
  </cols>
  <sheetData>
    <row r="1" spans="1:19" ht="16.5" customHeight="1">
      <c r="A1" s="215" t="s">
        <v>255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20.25" customHeight="1">
      <c r="A2" s="216" t="s">
        <v>256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18.75" thickBot="1">
      <c r="A3" s="215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</row>
    <row r="4" spans="1:19" s="107" customFormat="1" ht="51" customHeight="1" thickBot="1" thickTop="1">
      <c r="A4" s="218" t="s">
        <v>258</v>
      </c>
      <c r="B4" s="218" t="s">
        <v>259</v>
      </c>
      <c r="C4" s="219" t="s">
        <v>260</v>
      </c>
      <c r="D4" s="219"/>
      <c r="E4" s="219"/>
      <c r="F4" s="219"/>
      <c r="G4" s="219" t="s">
        <v>261</v>
      </c>
      <c r="H4" s="219"/>
      <c r="I4" s="219"/>
      <c r="J4" s="219"/>
      <c r="K4" s="219" t="s">
        <v>262</v>
      </c>
      <c r="L4" s="219"/>
      <c r="M4" s="219"/>
      <c r="N4" s="219"/>
      <c r="O4" s="219"/>
      <c r="P4" s="106"/>
      <c r="Q4" s="214" t="s">
        <v>259</v>
      </c>
      <c r="R4" s="214" t="s">
        <v>263</v>
      </c>
      <c r="S4" s="214" t="s">
        <v>264</v>
      </c>
    </row>
    <row r="5" spans="1:19" s="107" customFormat="1" ht="52.5" thickBot="1" thickTop="1">
      <c r="A5" s="218"/>
      <c r="B5" s="218"/>
      <c r="C5" s="108" t="s">
        <v>6</v>
      </c>
      <c r="D5" s="108" t="s">
        <v>15</v>
      </c>
      <c r="E5" s="108" t="s">
        <v>265</v>
      </c>
      <c r="F5" s="108" t="s">
        <v>266</v>
      </c>
      <c r="G5" s="108" t="s">
        <v>39</v>
      </c>
      <c r="H5" s="108" t="s">
        <v>244</v>
      </c>
      <c r="I5" s="108" t="s">
        <v>265</v>
      </c>
      <c r="J5" s="108" t="s">
        <v>266</v>
      </c>
      <c r="K5" s="108" t="s">
        <v>267</v>
      </c>
      <c r="L5" s="108" t="s">
        <v>268</v>
      </c>
      <c r="M5" s="108" t="s">
        <v>269</v>
      </c>
      <c r="N5" s="108" t="s">
        <v>265</v>
      </c>
      <c r="O5" s="109" t="s">
        <v>266</v>
      </c>
      <c r="P5" s="110"/>
      <c r="Q5" s="220"/>
      <c r="R5" s="214"/>
      <c r="S5" s="214"/>
    </row>
    <row r="6" spans="1:19" s="128" customFormat="1" ht="18.75" customHeight="1" thickBot="1" thickTop="1">
      <c r="A6" s="125">
        <v>1</v>
      </c>
      <c r="B6" s="125">
        <v>2</v>
      </c>
      <c r="C6" s="125">
        <v>3</v>
      </c>
      <c r="D6" s="125">
        <v>4</v>
      </c>
      <c r="E6" s="125">
        <v>5</v>
      </c>
      <c r="F6" s="125">
        <v>6</v>
      </c>
      <c r="G6" s="125">
        <v>7</v>
      </c>
      <c r="H6" s="125">
        <v>8</v>
      </c>
      <c r="I6" s="125">
        <v>9</v>
      </c>
      <c r="J6" s="125">
        <v>10</v>
      </c>
      <c r="K6" s="125">
        <v>11</v>
      </c>
      <c r="L6" s="125">
        <v>12</v>
      </c>
      <c r="M6" s="125">
        <v>13</v>
      </c>
      <c r="N6" s="125">
        <v>14</v>
      </c>
      <c r="O6" s="125">
        <v>15</v>
      </c>
      <c r="P6" s="126"/>
      <c r="Q6" s="127">
        <v>16</v>
      </c>
      <c r="R6" s="127" t="s">
        <v>270</v>
      </c>
      <c r="S6" s="127">
        <v>18</v>
      </c>
    </row>
    <row r="7" spans="1:19" ht="18" customHeight="1" thickBot="1" thickTop="1">
      <c r="A7" s="20">
        <v>1</v>
      </c>
      <c r="B7" s="85" t="s">
        <v>21</v>
      </c>
      <c r="C7" s="59">
        <v>4194.89</v>
      </c>
      <c r="D7" s="59">
        <v>1333.67</v>
      </c>
      <c r="E7" s="59">
        <f>D7/C7*100</f>
        <v>31.792728772387356</v>
      </c>
      <c r="F7" s="116">
        <v>14</v>
      </c>
      <c r="G7" s="59">
        <v>1742.66</v>
      </c>
      <c r="H7" s="59">
        <v>1333.67</v>
      </c>
      <c r="I7" s="59">
        <f>H7/G7*100</f>
        <v>76.53070593231037</v>
      </c>
      <c r="J7" s="116">
        <v>13</v>
      </c>
      <c r="K7" s="59">
        <v>1220.67</v>
      </c>
      <c r="L7" s="59">
        <v>1333.67</v>
      </c>
      <c r="M7" s="59">
        <f>L7-K7</f>
        <v>113</v>
      </c>
      <c r="N7" s="59">
        <f>M7/K7*100</f>
        <v>9.257211203683223</v>
      </c>
      <c r="O7" s="116">
        <v>8</v>
      </c>
      <c r="Q7" s="117" t="s">
        <v>30</v>
      </c>
      <c r="R7" s="118">
        <v>211.38963424513938</v>
      </c>
      <c r="S7" s="129" t="s">
        <v>271</v>
      </c>
    </row>
    <row r="8" spans="1:19" ht="18" customHeight="1" thickBot="1" thickTop="1">
      <c r="A8" s="20">
        <v>2</v>
      </c>
      <c r="B8" s="85" t="s">
        <v>22</v>
      </c>
      <c r="C8" s="59">
        <v>1299.8</v>
      </c>
      <c r="D8" s="59">
        <v>1042.86</v>
      </c>
      <c r="E8" s="59">
        <f aca="true" t="shared" si="0" ref="E8:E20">D8/C8*100</f>
        <v>80.23234343745192</v>
      </c>
      <c r="F8" s="116">
        <v>4</v>
      </c>
      <c r="G8" s="59">
        <v>1098.26</v>
      </c>
      <c r="H8" s="59">
        <v>1042.86</v>
      </c>
      <c r="I8" s="59">
        <f aca="true" t="shared" si="1" ref="I8:I20">H8/G8*100</f>
        <v>94.95565713036986</v>
      </c>
      <c r="J8" s="116">
        <v>10</v>
      </c>
      <c r="K8" s="59">
        <v>983.03</v>
      </c>
      <c r="L8" s="59">
        <v>1042.86</v>
      </c>
      <c r="M8" s="59">
        <f aca="true" t="shared" si="2" ref="M8:M20">L8-K8</f>
        <v>59.82999999999993</v>
      </c>
      <c r="N8" s="59">
        <f aca="true" t="shared" si="3" ref="N8:N20">M8/K8*100</f>
        <v>6.0862842436141245</v>
      </c>
      <c r="O8" s="116">
        <v>13</v>
      </c>
      <c r="Q8" s="117" t="s">
        <v>29</v>
      </c>
      <c r="R8" s="118">
        <v>200.37898994430353</v>
      </c>
      <c r="S8" s="129" t="s">
        <v>289</v>
      </c>
    </row>
    <row r="9" spans="1:19" ht="18" customHeight="1" thickBot="1" thickTop="1">
      <c r="A9" s="20">
        <v>3</v>
      </c>
      <c r="B9" s="85" t="s">
        <v>23</v>
      </c>
      <c r="C9" s="59">
        <v>1222.53</v>
      </c>
      <c r="D9" s="59">
        <v>965.81</v>
      </c>
      <c r="E9" s="59">
        <f t="shared" si="0"/>
        <v>79.0009243126958</v>
      </c>
      <c r="F9" s="116">
        <v>5</v>
      </c>
      <c r="G9" s="59">
        <v>973.85</v>
      </c>
      <c r="H9" s="59">
        <v>965.81</v>
      </c>
      <c r="I9" s="59">
        <f t="shared" si="1"/>
        <v>99.17441084355906</v>
      </c>
      <c r="J9" s="116">
        <v>8</v>
      </c>
      <c r="K9" s="59">
        <v>1160.14</v>
      </c>
      <c r="L9" s="59">
        <v>965.81</v>
      </c>
      <c r="M9" s="59">
        <f t="shared" si="2"/>
        <v>-194.33000000000015</v>
      </c>
      <c r="N9" s="59">
        <f t="shared" si="3"/>
        <v>-16.750564587032613</v>
      </c>
      <c r="O9" s="116">
        <v>14</v>
      </c>
      <c r="Q9" s="117" t="s">
        <v>25</v>
      </c>
      <c r="R9" s="118">
        <v>183.82059991799346</v>
      </c>
      <c r="S9" s="129" t="s">
        <v>273</v>
      </c>
    </row>
    <row r="10" spans="1:19" ht="18" customHeight="1" thickBot="1" thickTop="1">
      <c r="A10" s="20">
        <v>4</v>
      </c>
      <c r="B10" s="85" t="s">
        <v>24</v>
      </c>
      <c r="C10" s="59">
        <v>764.45</v>
      </c>
      <c r="D10" s="59">
        <v>529.21</v>
      </c>
      <c r="E10" s="59">
        <f t="shared" si="0"/>
        <v>69.2275492183923</v>
      </c>
      <c r="F10" s="116">
        <v>8</v>
      </c>
      <c r="G10" s="59">
        <v>609.39</v>
      </c>
      <c r="H10" s="59">
        <v>529.21</v>
      </c>
      <c r="I10" s="59">
        <f t="shared" si="1"/>
        <v>86.84258028520324</v>
      </c>
      <c r="J10" s="116">
        <v>11</v>
      </c>
      <c r="K10" s="59">
        <v>477.18</v>
      </c>
      <c r="L10" s="59">
        <v>529.21</v>
      </c>
      <c r="M10" s="59">
        <f t="shared" si="2"/>
        <v>52.03000000000003</v>
      </c>
      <c r="N10" s="59">
        <f t="shared" si="3"/>
        <v>10.903642231443067</v>
      </c>
      <c r="O10" s="116">
        <v>6</v>
      </c>
      <c r="Q10" s="117" t="s">
        <v>31</v>
      </c>
      <c r="R10" s="118">
        <v>182.1970657946134</v>
      </c>
      <c r="S10" s="129" t="s">
        <v>274</v>
      </c>
    </row>
    <row r="11" spans="1:19" ht="18" customHeight="1" thickBot="1" thickTop="1">
      <c r="A11" s="20">
        <v>5</v>
      </c>
      <c r="B11" s="85" t="s">
        <v>25</v>
      </c>
      <c r="C11" s="59">
        <v>1172.71</v>
      </c>
      <c r="D11" s="59">
        <v>878.83</v>
      </c>
      <c r="E11" s="59">
        <f t="shared" si="0"/>
        <v>74.94009601691808</v>
      </c>
      <c r="F11" s="116">
        <v>6</v>
      </c>
      <c r="G11" s="59">
        <v>882.97</v>
      </c>
      <c r="H11" s="59">
        <v>878.83</v>
      </c>
      <c r="I11" s="59">
        <f t="shared" si="1"/>
        <v>99.53112789789009</v>
      </c>
      <c r="J11" s="116">
        <v>6</v>
      </c>
      <c r="K11" s="59">
        <v>803.69</v>
      </c>
      <c r="L11" s="59">
        <v>878.83</v>
      </c>
      <c r="M11" s="59">
        <f t="shared" si="2"/>
        <v>75.13999999999999</v>
      </c>
      <c r="N11" s="59">
        <f t="shared" si="3"/>
        <v>9.349376003185306</v>
      </c>
      <c r="O11" s="116">
        <v>7</v>
      </c>
      <c r="Q11" s="117" t="s">
        <v>22</v>
      </c>
      <c r="R11" s="118">
        <v>181.2742848114359</v>
      </c>
      <c r="S11" s="129" t="s">
        <v>275</v>
      </c>
    </row>
    <row r="12" spans="1:19" ht="18" customHeight="1" thickBot="1" thickTop="1">
      <c r="A12" s="20">
        <v>6</v>
      </c>
      <c r="B12" s="85" t="s">
        <v>26</v>
      </c>
      <c r="C12" s="59">
        <v>958.56</v>
      </c>
      <c r="D12" s="59">
        <v>492.95</v>
      </c>
      <c r="E12" s="59">
        <f t="shared" si="0"/>
        <v>51.426097479552666</v>
      </c>
      <c r="F12" s="116">
        <v>11</v>
      </c>
      <c r="G12" s="59">
        <v>773.58</v>
      </c>
      <c r="H12" s="59">
        <v>492.95</v>
      </c>
      <c r="I12" s="59">
        <f t="shared" si="1"/>
        <v>63.72320897644717</v>
      </c>
      <c r="J12" s="116">
        <v>14</v>
      </c>
      <c r="K12" s="59">
        <v>390.14</v>
      </c>
      <c r="L12" s="59">
        <v>492.95</v>
      </c>
      <c r="M12" s="59">
        <f t="shared" si="2"/>
        <v>102.81</v>
      </c>
      <c r="N12" s="59">
        <f t="shared" si="3"/>
        <v>26.352078740964785</v>
      </c>
      <c r="O12" s="116">
        <v>1</v>
      </c>
      <c r="Q12" s="117" t="s">
        <v>32</v>
      </c>
      <c r="R12" s="118">
        <v>179.37565192916398</v>
      </c>
      <c r="S12" s="129" t="s">
        <v>276</v>
      </c>
    </row>
    <row r="13" spans="1:19" ht="18" customHeight="1" thickBot="1" thickTop="1">
      <c r="A13" s="20">
        <v>7</v>
      </c>
      <c r="B13" s="85" t="s">
        <v>27</v>
      </c>
      <c r="C13" s="59">
        <v>5936.47</v>
      </c>
      <c r="D13" s="59">
        <v>2962.67</v>
      </c>
      <c r="E13" s="59">
        <f t="shared" si="0"/>
        <v>49.90625742234021</v>
      </c>
      <c r="F13" s="116">
        <v>12</v>
      </c>
      <c r="G13" s="59">
        <v>3569.1</v>
      </c>
      <c r="H13" s="59">
        <v>2962.67</v>
      </c>
      <c r="I13" s="59">
        <f t="shared" si="1"/>
        <v>83.00888179092769</v>
      </c>
      <c r="J13" s="116">
        <v>12</v>
      </c>
      <c r="K13" s="59">
        <v>2529.82</v>
      </c>
      <c r="L13" s="59">
        <v>2962.67</v>
      </c>
      <c r="M13" s="59">
        <f t="shared" si="2"/>
        <v>432.8499999999999</v>
      </c>
      <c r="N13" s="59">
        <f t="shared" si="3"/>
        <v>17.109912958234176</v>
      </c>
      <c r="O13" s="116">
        <v>3</v>
      </c>
      <c r="Q13" s="117" t="s">
        <v>34</v>
      </c>
      <c r="R13" s="118">
        <v>177.99619276601825</v>
      </c>
      <c r="S13" s="129" t="s">
        <v>277</v>
      </c>
    </row>
    <row r="14" spans="1:19" ht="18" customHeight="1" thickBot="1" thickTop="1">
      <c r="A14" s="20">
        <v>8</v>
      </c>
      <c r="B14" s="85" t="s">
        <v>28</v>
      </c>
      <c r="C14" s="59">
        <v>4637.18</v>
      </c>
      <c r="D14" s="59">
        <v>1962.54</v>
      </c>
      <c r="E14" s="59">
        <f t="shared" si="0"/>
        <v>42.32184215406777</v>
      </c>
      <c r="F14" s="116">
        <v>13</v>
      </c>
      <c r="G14" s="59">
        <v>1980.41</v>
      </c>
      <c r="H14" s="59">
        <v>1962.54</v>
      </c>
      <c r="I14" s="59">
        <f t="shared" si="1"/>
        <v>99.09766159532622</v>
      </c>
      <c r="J14" s="116">
        <v>9</v>
      </c>
      <c r="K14" s="59">
        <v>1616.39</v>
      </c>
      <c r="L14" s="59">
        <v>1962.54</v>
      </c>
      <c r="M14" s="59">
        <f t="shared" si="2"/>
        <v>346.14999999999986</v>
      </c>
      <c r="N14" s="59">
        <f t="shared" si="3"/>
        <v>21.415005042099978</v>
      </c>
      <c r="O14" s="116">
        <v>2</v>
      </c>
      <c r="Q14" s="117" t="s">
        <v>33</v>
      </c>
      <c r="R14" s="118">
        <v>174.93834327394364</v>
      </c>
      <c r="S14" s="129" t="s">
        <v>278</v>
      </c>
    </row>
    <row r="15" spans="1:19" ht="18" customHeight="1" thickBot="1" thickTop="1">
      <c r="A15" s="20">
        <v>9</v>
      </c>
      <c r="B15" s="85" t="s">
        <v>29</v>
      </c>
      <c r="C15" s="59">
        <v>1000.74</v>
      </c>
      <c r="D15" s="59">
        <v>907.32</v>
      </c>
      <c r="E15" s="59">
        <f t="shared" si="0"/>
        <v>90.6649079681036</v>
      </c>
      <c r="F15" s="116">
        <v>3</v>
      </c>
      <c r="G15" s="59">
        <v>893.32</v>
      </c>
      <c r="H15" s="59">
        <v>907.32</v>
      </c>
      <c r="I15" s="59">
        <f t="shared" si="1"/>
        <v>101.56718756996372</v>
      </c>
      <c r="J15" s="116">
        <v>3</v>
      </c>
      <c r="K15" s="59">
        <v>838.97</v>
      </c>
      <c r="L15" s="59">
        <v>907.32</v>
      </c>
      <c r="M15" s="59">
        <f t="shared" si="2"/>
        <v>68.35000000000002</v>
      </c>
      <c r="N15" s="59">
        <f t="shared" si="3"/>
        <v>8.14689440623622</v>
      </c>
      <c r="O15" s="116">
        <v>11</v>
      </c>
      <c r="Q15" s="117" t="s">
        <v>24</v>
      </c>
      <c r="R15" s="118">
        <v>166.97377173503858</v>
      </c>
      <c r="S15" s="129" t="s">
        <v>279</v>
      </c>
    </row>
    <row r="16" spans="1:19" ht="18" customHeight="1" thickBot="1" thickTop="1">
      <c r="A16" s="20">
        <v>10</v>
      </c>
      <c r="B16" s="85" t="s">
        <v>30</v>
      </c>
      <c r="C16" s="59">
        <v>2301.42</v>
      </c>
      <c r="D16" s="59">
        <v>2199.87</v>
      </c>
      <c r="E16" s="59">
        <f t="shared" si="0"/>
        <v>95.5875068436009</v>
      </c>
      <c r="F16" s="116">
        <v>1</v>
      </c>
      <c r="G16" s="59">
        <v>2137.06</v>
      </c>
      <c r="H16" s="59">
        <v>2199.87</v>
      </c>
      <c r="I16" s="59">
        <f t="shared" si="1"/>
        <v>102.93908453669995</v>
      </c>
      <c r="J16" s="116">
        <v>2</v>
      </c>
      <c r="K16" s="59">
        <v>1949.15</v>
      </c>
      <c r="L16" s="59">
        <v>2199.87</v>
      </c>
      <c r="M16" s="59">
        <f t="shared" si="2"/>
        <v>250.7199999999998</v>
      </c>
      <c r="N16" s="59">
        <f t="shared" si="3"/>
        <v>12.863042864838508</v>
      </c>
      <c r="O16" s="116">
        <v>4</v>
      </c>
      <c r="Q16" s="117" t="s">
        <v>28</v>
      </c>
      <c r="R16" s="118">
        <v>162.83450879149396</v>
      </c>
      <c r="S16" s="129" t="s">
        <v>280</v>
      </c>
    </row>
    <row r="17" spans="1:19" ht="18" customHeight="1" thickBot="1" thickTop="1">
      <c r="A17" s="20">
        <v>11</v>
      </c>
      <c r="B17" s="85" t="s">
        <v>31</v>
      </c>
      <c r="C17" s="59">
        <v>1533.943</v>
      </c>
      <c r="D17" s="59">
        <v>1104.82</v>
      </c>
      <c r="E17" s="59">
        <f t="shared" si="0"/>
        <v>72.02484055796076</v>
      </c>
      <c r="F17" s="116">
        <v>7</v>
      </c>
      <c r="G17" s="59">
        <v>1112.983</v>
      </c>
      <c r="H17" s="59">
        <v>1104.82</v>
      </c>
      <c r="I17" s="59">
        <f t="shared" si="1"/>
        <v>99.2665656169052</v>
      </c>
      <c r="J17" s="116">
        <v>7</v>
      </c>
      <c r="K17" s="59">
        <v>996.18</v>
      </c>
      <c r="L17" s="59">
        <v>1104.82</v>
      </c>
      <c r="M17" s="59">
        <f t="shared" si="2"/>
        <v>108.63999999999999</v>
      </c>
      <c r="N17" s="59">
        <f t="shared" si="3"/>
        <v>10.905659619747436</v>
      </c>
      <c r="O17" s="116">
        <v>5</v>
      </c>
      <c r="Q17" s="117" t="s">
        <v>23</v>
      </c>
      <c r="R17" s="118">
        <v>161.42477056922223</v>
      </c>
      <c r="S17" s="129" t="s">
        <v>281</v>
      </c>
    </row>
    <row r="18" spans="1:19" ht="18" customHeight="1" thickBot="1" thickTop="1">
      <c r="A18" s="20">
        <v>12</v>
      </c>
      <c r="B18" s="85" t="s">
        <v>32</v>
      </c>
      <c r="C18" s="59">
        <v>531.96</v>
      </c>
      <c r="D18" s="59">
        <v>344.93</v>
      </c>
      <c r="E18" s="59">
        <f t="shared" si="0"/>
        <v>64.84134145424467</v>
      </c>
      <c r="F18" s="116">
        <v>10</v>
      </c>
      <c r="G18" s="59">
        <v>326.14</v>
      </c>
      <c r="H18" s="59">
        <v>344.93</v>
      </c>
      <c r="I18" s="59">
        <f t="shared" si="1"/>
        <v>105.76132949040291</v>
      </c>
      <c r="J18" s="116">
        <v>1</v>
      </c>
      <c r="K18" s="59">
        <v>317.11</v>
      </c>
      <c r="L18" s="59">
        <v>344.93</v>
      </c>
      <c r="M18" s="59">
        <f t="shared" si="2"/>
        <v>27.819999999999993</v>
      </c>
      <c r="N18" s="59">
        <f t="shared" si="3"/>
        <v>8.772980984516412</v>
      </c>
      <c r="O18" s="116">
        <v>9</v>
      </c>
      <c r="Q18" s="117" t="s">
        <v>27</v>
      </c>
      <c r="R18" s="118">
        <v>150.02505217150207</v>
      </c>
      <c r="S18" s="129" t="s">
        <v>282</v>
      </c>
    </row>
    <row r="19" spans="1:19" ht="18" customHeight="1" thickBot="1" thickTop="1">
      <c r="A19" s="20">
        <v>13</v>
      </c>
      <c r="B19" s="85" t="s">
        <v>33</v>
      </c>
      <c r="C19" s="59">
        <v>1184.43</v>
      </c>
      <c r="D19" s="59">
        <v>1082.21</v>
      </c>
      <c r="E19" s="59">
        <f t="shared" si="0"/>
        <v>91.36968837331037</v>
      </c>
      <c r="F19" s="116">
        <v>2</v>
      </c>
      <c r="G19" s="59">
        <v>1086.17</v>
      </c>
      <c r="H19" s="59">
        <v>1082.21</v>
      </c>
      <c r="I19" s="59">
        <f t="shared" si="1"/>
        <v>99.63541618715303</v>
      </c>
      <c r="J19" s="116">
        <v>5</v>
      </c>
      <c r="K19" s="59">
        <v>1289.37</v>
      </c>
      <c r="L19" s="59">
        <v>1082.21</v>
      </c>
      <c r="M19" s="59">
        <f t="shared" si="2"/>
        <v>-207.15999999999985</v>
      </c>
      <c r="N19" s="59">
        <f t="shared" si="3"/>
        <v>-16.066761286519764</v>
      </c>
      <c r="O19" s="116">
        <v>13</v>
      </c>
      <c r="Q19" s="117" t="s">
        <v>26</v>
      </c>
      <c r="R19" s="118">
        <v>141.50138519696463</v>
      </c>
      <c r="S19" s="129" t="s">
        <v>283</v>
      </c>
    </row>
    <row r="20" spans="1:19" ht="18" customHeight="1" thickBot="1" thickTop="1">
      <c r="A20" s="20">
        <v>14</v>
      </c>
      <c r="B20" s="85" t="s">
        <v>34</v>
      </c>
      <c r="C20" s="59">
        <v>831.86</v>
      </c>
      <c r="D20" s="59">
        <v>568.31</v>
      </c>
      <c r="E20" s="59">
        <f t="shared" si="0"/>
        <v>68.3179861996009</v>
      </c>
      <c r="F20" s="116">
        <v>9</v>
      </c>
      <c r="G20" s="59">
        <v>561.92</v>
      </c>
      <c r="H20" s="59">
        <v>568.31</v>
      </c>
      <c r="I20" s="59">
        <f t="shared" si="1"/>
        <v>101.13717255125285</v>
      </c>
      <c r="J20" s="116">
        <v>4</v>
      </c>
      <c r="K20" s="59">
        <v>523.59</v>
      </c>
      <c r="L20" s="59">
        <v>568.31</v>
      </c>
      <c r="M20" s="59">
        <f t="shared" si="2"/>
        <v>44.719999999999914</v>
      </c>
      <c r="N20" s="59">
        <f t="shared" si="3"/>
        <v>8.54103401516452</v>
      </c>
      <c r="O20" s="116">
        <v>10</v>
      </c>
      <c r="Q20" s="117" t="s">
        <v>21</v>
      </c>
      <c r="R20" s="118">
        <v>117.58064590838094</v>
      </c>
      <c r="S20" s="129" t="s">
        <v>284</v>
      </c>
    </row>
    <row r="21" ht="13.5" thickTop="1"/>
    <row r="22" ht="14.25">
      <c r="B22" s="120" t="s">
        <v>285</v>
      </c>
    </row>
    <row r="24" spans="1:13" ht="14.25">
      <c r="A24" s="54"/>
      <c r="B24" s="54"/>
      <c r="C24" s="54"/>
      <c r="D24" s="123"/>
      <c r="E24" s="122"/>
      <c r="F24" s="123"/>
      <c r="G24" s="122"/>
      <c r="H24" s="54"/>
      <c r="I24" s="54"/>
      <c r="J24" s="54"/>
      <c r="K24" s="54"/>
      <c r="L24" s="54"/>
      <c r="M24" s="54"/>
    </row>
    <row r="25" spans="1:13" ht="14.25">
      <c r="A25" s="54"/>
      <c r="B25" s="121"/>
      <c r="C25" s="122"/>
      <c r="D25" s="121"/>
      <c r="E25" s="122"/>
      <c r="F25" s="121"/>
      <c r="G25" s="122"/>
      <c r="H25" s="54"/>
      <c r="I25" s="54"/>
      <c r="J25" s="54"/>
      <c r="K25" s="54"/>
      <c r="L25" s="54"/>
      <c r="M25" s="54"/>
    </row>
    <row r="26" spans="1:13" ht="14.25">
      <c r="A26" s="54"/>
      <c r="B26" s="121"/>
      <c r="C26" s="122"/>
      <c r="D26" s="121"/>
      <c r="E26" s="122"/>
      <c r="F26" s="121"/>
      <c r="G26" s="122"/>
      <c r="H26" s="54"/>
      <c r="I26" s="54"/>
      <c r="J26" s="54"/>
      <c r="K26" s="54"/>
      <c r="L26" s="54"/>
      <c r="M26" s="54"/>
    </row>
    <row r="27" spans="1:13" ht="14.25">
      <c r="A27" s="54"/>
      <c r="B27" s="121"/>
      <c r="C27" s="122"/>
      <c r="D27" s="121"/>
      <c r="E27" s="122"/>
      <c r="F27" s="121"/>
      <c r="G27" s="122"/>
      <c r="H27" s="54"/>
      <c r="I27" s="54"/>
      <c r="J27" s="54"/>
      <c r="K27" s="54"/>
      <c r="L27" s="54"/>
      <c r="M27" s="54"/>
    </row>
    <row r="28" spans="1:13" ht="14.25">
      <c r="A28" s="54"/>
      <c r="B28" s="121"/>
      <c r="C28" s="122"/>
      <c r="D28" s="121"/>
      <c r="E28" s="122"/>
      <c r="F28" s="121"/>
      <c r="G28" s="122"/>
      <c r="H28" s="54"/>
      <c r="I28" s="54"/>
      <c r="J28" s="54"/>
      <c r="K28" s="54"/>
      <c r="L28" s="54"/>
      <c r="M28" s="54"/>
    </row>
    <row r="29" spans="1:13" ht="14.25">
      <c r="A29" s="54"/>
      <c r="B29" s="121"/>
      <c r="C29" s="122"/>
      <c r="D29" s="121"/>
      <c r="E29" s="122"/>
      <c r="F29" s="121"/>
      <c r="G29" s="122"/>
      <c r="H29" s="54"/>
      <c r="I29" s="54"/>
      <c r="J29" s="54"/>
      <c r="K29" s="54"/>
      <c r="L29" s="54"/>
      <c r="M29" s="54"/>
    </row>
    <row r="30" spans="1:13" ht="14.25">
      <c r="A30" s="54"/>
      <c r="B30" s="121"/>
      <c r="C30" s="122"/>
      <c r="D30" s="121"/>
      <c r="E30" s="122"/>
      <c r="F30" s="121"/>
      <c r="G30" s="122"/>
      <c r="H30" s="54"/>
      <c r="I30" s="54"/>
      <c r="J30" s="54"/>
      <c r="K30" s="54"/>
      <c r="L30" s="54"/>
      <c r="M30" s="54"/>
    </row>
    <row r="31" spans="1:13" ht="14.25">
      <c r="A31" s="54"/>
      <c r="B31" s="121"/>
      <c r="C31" s="122"/>
      <c r="D31" s="121"/>
      <c r="E31" s="122"/>
      <c r="F31" s="121"/>
      <c r="G31" s="122"/>
      <c r="H31" s="54"/>
      <c r="I31" s="54"/>
      <c r="J31" s="54"/>
      <c r="K31" s="54"/>
      <c r="L31" s="54"/>
      <c r="M31" s="54"/>
    </row>
    <row r="32" spans="1:13" ht="14.25">
      <c r="A32" s="54"/>
      <c r="B32" s="121"/>
      <c r="C32" s="122"/>
      <c r="D32" s="121"/>
      <c r="E32" s="122"/>
      <c r="F32" s="121"/>
      <c r="G32" s="122"/>
      <c r="H32" s="54"/>
      <c r="I32" s="54"/>
      <c r="J32" s="54"/>
      <c r="K32" s="54"/>
      <c r="L32" s="54"/>
      <c r="M32" s="54"/>
    </row>
    <row r="33" spans="1:13" ht="14.25">
      <c r="A33" s="54"/>
      <c r="B33" s="121"/>
      <c r="C33" s="122"/>
      <c r="D33" s="121"/>
      <c r="E33" s="122"/>
      <c r="F33" s="121"/>
      <c r="G33" s="122"/>
      <c r="H33" s="54"/>
      <c r="I33" s="54"/>
      <c r="J33" s="54"/>
      <c r="K33" s="54"/>
      <c r="L33" s="54"/>
      <c r="M33" s="54"/>
    </row>
    <row r="34" spans="1:13" ht="14.25">
      <c r="A34" s="54"/>
      <c r="B34" s="121"/>
      <c r="C34" s="122"/>
      <c r="D34" s="121"/>
      <c r="E34" s="122"/>
      <c r="F34" s="121"/>
      <c r="G34" s="122"/>
      <c r="H34" s="54"/>
      <c r="I34" s="54"/>
      <c r="J34" s="54"/>
      <c r="K34" s="54"/>
      <c r="L34" s="54"/>
      <c r="M34" s="54"/>
    </row>
    <row r="35" spans="1:13" ht="14.25">
      <c r="A35" s="54"/>
      <c r="B35" s="121"/>
      <c r="C35" s="122"/>
      <c r="D35" s="121"/>
      <c r="E35" s="122"/>
      <c r="F35" s="121"/>
      <c r="G35" s="122"/>
      <c r="H35" s="54"/>
      <c r="I35" s="54"/>
      <c r="J35" s="54"/>
      <c r="K35" s="54"/>
      <c r="L35" s="54"/>
      <c r="M35" s="54"/>
    </row>
    <row r="36" spans="1:13" ht="14.25">
      <c r="A36" s="54"/>
      <c r="B36" s="121"/>
      <c r="C36" s="122"/>
      <c r="D36" s="121"/>
      <c r="E36" s="122"/>
      <c r="F36" s="121"/>
      <c r="G36" s="122"/>
      <c r="H36" s="54"/>
      <c r="I36" s="54"/>
      <c r="J36" s="54"/>
      <c r="K36" s="54"/>
      <c r="L36" s="54"/>
      <c r="M36" s="54"/>
    </row>
    <row r="37" spans="1:13" ht="14.25">
      <c r="A37" s="54"/>
      <c r="B37" s="121"/>
      <c r="C37" s="122"/>
      <c r="D37" s="121"/>
      <c r="E37" s="122"/>
      <c r="F37" s="121"/>
      <c r="G37" s="122"/>
      <c r="H37" s="54"/>
      <c r="I37" s="54"/>
      <c r="J37" s="54"/>
      <c r="K37" s="54"/>
      <c r="L37" s="54"/>
      <c r="M37" s="54"/>
    </row>
    <row r="38" spans="1:13" ht="14.25">
      <c r="A38" s="54"/>
      <c r="B38" s="121"/>
      <c r="C38" s="122"/>
      <c r="D38" s="121"/>
      <c r="E38" s="122"/>
      <c r="F38" s="121"/>
      <c r="G38" s="122"/>
      <c r="H38" s="54"/>
      <c r="I38" s="54"/>
      <c r="J38" s="54"/>
      <c r="K38" s="54"/>
      <c r="L38" s="54"/>
      <c r="M38" s="54"/>
    </row>
    <row r="39" spans="1:13" ht="14.25">
      <c r="A39" s="54"/>
      <c r="B39" s="123"/>
      <c r="C39" s="122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ht="14.25">
      <c r="A40" s="54"/>
      <c r="B40" s="121"/>
      <c r="C40" s="122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ht="14.25">
      <c r="A41" s="54"/>
      <c r="B41" s="121"/>
      <c r="C41" s="122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14.25">
      <c r="A42" s="54"/>
      <c r="B42" s="121"/>
      <c r="C42" s="122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ht="14.25">
      <c r="A43" s="54"/>
      <c r="B43" s="121"/>
      <c r="C43" s="122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14.25">
      <c r="A44" s="54"/>
      <c r="B44" s="121"/>
      <c r="C44" s="122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ht="14.25">
      <c r="A45" s="54"/>
      <c r="B45" s="121"/>
      <c r="C45" s="122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14.25">
      <c r="A46" s="54"/>
      <c r="B46" s="121"/>
      <c r="C46" s="122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4.25">
      <c r="A47" s="54"/>
      <c r="B47" s="121"/>
      <c r="C47" s="122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ht="14.25">
      <c r="A48" s="54"/>
      <c r="B48" s="121"/>
      <c r="C48" s="122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ht="14.25">
      <c r="A49" s="54"/>
      <c r="B49" s="121"/>
      <c r="C49" s="122"/>
      <c r="D49" s="54"/>
      <c r="E49" s="54"/>
      <c r="F49" s="54"/>
      <c r="G49" s="54"/>
      <c r="H49" s="121"/>
      <c r="I49" s="122"/>
      <c r="J49" s="54"/>
      <c r="K49" s="54"/>
      <c r="L49" s="54"/>
      <c r="M49" s="54"/>
    </row>
    <row r="50" spans="1:13" ht="14.25">
      <c r="A50" s="54"/>
      <c r="B50" s="121"/>
      <c r="C50" s="122"/>
      <c r="D50" s="54"/>
      <c r="E50" s="54"/>
      <c r="F50" s="54"/>
      <c r="G50" s="54"/>
      <c r="H50" s="121"/>
      <c r="I50" s="122"/>
      <c r="J50" s="54"/>
      <c r="K50" s="54"/>
      <c r="L50" s="54"/>
      <c r="M50" s="54"/>
    </row>
    <row r="51" spans="1:13" ht="14.25">
      <c r="A51" s="54"/>
      <c r="B51" s="121"/>
      <c r="C51" s="122"/>
      <c r="D51" s="54"/>
      <c r="E51" s="54"/>
      <c r="F51" s="54"/>
      <c r="G51" s="54"/>
      <c r="H51" s="121"/>
      <c r="I51" s="122"/>
      <c r="J51" s="54"/>
      <c r="K51" s="54"/>
      <c r="L51" s="54"/>
      <c r="M51" s="54"/>
    </row>
    <row r="52" spans="1:13" ht="14.25">
      <c r="A52" s="54"/>
      <c r="B52" s="121"/>
      <c r="C52" s="122"/>
      <c r="D52" s="54"/>
      <c r="E52" s="54"/>
      <c r="F52" s="54"/>
      <c r="G52" s="54"/>
      <c r="H52" s="121"/>
      <c r="I52" s="122"/>
      <c r="J52" s="54"/>
      <c r="K52" s="54"/>
      <c r="L52" s="54"/>
      <c r="M52" s="54"/>
    </row>
    <row r="53" spans="1:13" ht="14.25">
      <c r="A53" s="54"/>
      <c r="B53" s="121"/>
      <c r="C53" s="122"/>
      <c r="D53" s="54"/>
      <c r="E53" s="54"/>
      <c r="F53" s="54"/>
      <c r="G53" s="54"/>
      <c r="H53" s="121"/>
      <c r="I53" s="122"/>
      <c r="J53" s="54"/>
      <c r="K53" s="54"/>
      <c r="L53" s="54"/>
      <c r="M53" s="54"/>
    </row>
    <row r="54" spans="1:13" ht="14.25">
      <c r="A54" s="54"/>
      <c r="B54" s="123"/>
      <c r="C54" s="122"/>
      <c r="D54" s="54"/>
      <c r="E54" s="54"/>
      <c r="F54" s="54"/>
      <c r="G54" s="54"/>
      <c r="H54" s="121"/>
      <c r="I54" s="122"/>
      <c r="J54" s="54"/>
      <c r="K54" s="54"/>
      <c r="L54" s="54"/>
      <c r="M54" s="54"/>
    </row>
    <row r="55" spans="1:13" ht="14.25">
      <c r="A55" s="54"/>
      <c r="B55" s="121"/>
      <c r="C55" s="122"/>
      <c r="D55" s="54"/>
      <c r="E55" s="54"/>
      <c r="F55" s="54"/>
      <c r="G55" s="54"/>
      <c r="H55" s="121"/>
      <c r="I55" s="122"/>
      <c r="J55" s="54"/>
      <c r="K55" s="54"/>
      <c r="L55" s="54"/>
      <c r="M55" s="54"/>
    </row>
    <row r="56" spans="1:13" ht="14.25">
      <c r="A56" s="54"/>
      <c r="B56" s="121"/>
      <c r="C56" s="122"/>
      <c r="D56" s="54"/>
      <c r="E56" s="54"/>
      <c r="F56" s="54"/>
      <c r="G56" s="54"/>
      <c r="H56" s="121"/>
      <c r="I56" s="122"/>
      <c r="J56" s="54"/>
      <c r="K56" s="54"/>
      <c r="L56" s="54"/>
      <c r="M56" s="54"/>
    </row>
    <row r="57" spans="1:13" ht="14.25">
      <c r="A57" s="54"/>
      <c r="B57" s="121"/>
      <c r="C57" s="122"/>
      <c r="D57" s="54"/>
      <c r="E57" s="54"/>
      <c r="F57" s="54"/>
      <c r="G57" s="54"/>
      <c r="H57" s="121"/>
      <c r="I57" s="122"/>
      <c r="J57" s="54"/>
      <c r="K57" s="54"/>
      <c r="L57" s="54"/>
      <c r="M57" s="54"/>
    </row>
    <row r="58" spans="1:13" ht="14.25">
      <c r="A58" s="54"/>
      <c r="B58" s="121"/>
      <c r="C58" s="122"/>
      <c r="D58" s="54"/>
      <c r="E58" s="54"/>
      <c r="F58" s="54"/>
      <c r="G58" s="54"/>
      <c r="H58" s="121"/>
      <c r="I58" s="122"/>
      <c r="J58" s="54"/>
      <c r="K58" s="54"/>
      <c r="L58" s="54"/>
      <c r="M58" s="54"/>
    </row>
    <row r="59" spans="1:13" ht="14.25">
      <c r="A59" s="54"/>
      <c r="B59" s="121"/>
      <c r="C59" s="122"/>
      <c r="D59" s="54"/>
      <c r="E59" s="54"/>
      <c r="F59" s="54"/>
      <c r="G59" s="54"/>
      <c r="H59" s="121"/>
      <c r="I59" s="122"/>
      <c r="J59" s="54"/>
      <c r="K59" s="54"/>
      <c r="L59" s="54"/>
      <c r="M59" s="54"/>
    </row>
    <row r="60" spans="1:13" ht="14.25">
      <c r="A60" s="54"/>
      <c r="B60" s="121"/>
      <c r="C60" s="122"/>
      <c r="D60" s="54"/>
      <c r="E60" s="54"/>
      <c r="F60" s="54"/>
      <c r="G60" s="54"/>
      <c r="H60" s="121"/>
      <c r="I60" s="122"/>
      <c r="J60" s="54"/>
      <c r="K60" s="54"/>
      <c r="L60" s="54"/>
      <c r="M60" s="54"/>
    </row>
    <row r="61" spans="1:13" ht="14.25">
      <c r="A61" s="54"/>
      <c r="B61" s="121"/>
      <c r="C61" s="122"/>
      <c r="D61" s="54"/>
      <c r="E61" s="54"/>
      <c r="F61" s="54"/>
      <c r="G61" s="54"/>
      <c r="H61" s="121"/>
      <c r="I61" s="122"/>
      <c r="J61" s="54"/>
      <c r="K61" s="54"/>
      <c r="L61" s="54"/>
      <c r="M61" s="54"/>
    </row>
    <row r="62" spans="1:13" ht="14.25">
      <c r="A62" s="54"/>
      <c r="B62" s="121"/>
      <c r="C62" s="122"/>
      <c r="D62" s="54"/>
      <c r="E62" s="54"/>
      <c r="F62" s="54"/>
      <c r="G62" s="54"/>
      <c r="H62" s="121"/>
      <c r="I62" s="122"/>
      <c r="J62" s="54"/>
      <c r="K62" s="54"/>
      <c r="L62" s="54"/>
      <c r="M62" s="54"/>
    </row>
    <row r="63" spans="1:13" ht="14.25">
      <c r="A63" s="54"/>
      <c r="B63" s="121"/>
      <c r="C63" s="122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3" ht="14.25">
      <c r="A64" s="54"/>
      <c r="B64" s="121"/>
      <c r="C64" s="122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ht="14.25">
      <c r="A65" s="54"/>
      <c r="B65" s="121"/>
      <c r="C65" s="122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14.25">
      <c r="A66" s="54"/>
      <c r="B66" s="121"/>
      <c r="C66" s="122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spans="1:13" ht="14.25">
      <c r="A67" s="54"/>
      <c r="B67" s="121"/>
      <c r="C67" s="122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3" ht="14.25">
      <c r="A68" s="54"/>
      <c r="B68" s="121"/>
      <c r="C68" s="122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ht="14.25">
      <c r="A70" s="54"/>
      <c r="B70" s="12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ht="14.25">
      <c r="A71" s="54"/>
      <c r="B71" s="121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14.25">
      <c r="A72" s="54"/>
      <c r="B72" s="121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4.25">
      <c r="A73" s="54"/>
      <c r="B73" s="121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</row>
    <row r="74" spans="1:13" ht="14.25">
      <c r="A74" s="54"/>
      <c r="B74" s="121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1:13" ht="14.25">
      <c r="A75" s="54"/>
      <c r="B75" s="121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1:13" ht="14.25">
      <c r="A76" s="54"/>
      <c r="B76" s="121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ht="14.25">
      <c r="A77" s="54"/>
      <c r="B77" s="121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ht="14.25">
      <c r="A78" s="54"/>
      <c r="B78" s="121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ht="14.25">
      <c r="A79" s="54"/>
      <c r="B79" s="121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ht="14.25">
      <c r="A80" s="54"/>
      <c r="B80" s="121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ht="14.25">
      <c r="A81" s="54"/>
      <c r="B81" s="121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1:13" ht="14.25">
      <c r="A82" s="54"/>
      <c r="B82" s="121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4.25">
      <c r="A83" s="54"/>
      <c r="B83" s="121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1:13" ht="14.25">
      <c r="A84" s="54"/>
      <c r="B84" s="121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1:13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1:13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1:13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1:13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1:13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1:13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1:13" ht="14.25">
      <c r="A91" s="54"/>
      <c r="B91" s="123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2" spans="1:13" ht="14.25">
      <c r="A92" s="54"/>
      <c r="B92" s="121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1:13" ht="14.25">
      <c r="A93" s="54"/>
      <c r="B93" s="121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1:13" ht="14.25">
      <c r="A94" s="54"/>
      <c r="B94" s="121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</row>
    <row r="95" spans="1:13" ht="14.25">
      <c r="A95" s="54"/>
      <c r="B95" s="121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1:13" ht="14.25">
      <c r="A96" s="54"/>
      <c r="B96" s="121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1:13" ht="14.25">
      <c r="A97" s="54"/>
      <c r="B97" s="121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1:13" ht="14.25">
      <c r="A98" s="54"/>
      <c r="B98" s="121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1:13" ht="14.25">
      <c r="A99" s="54"/>
      <c r="B99" s="121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1:13" ht="14.25">
      <c r="A100" s="54"/>
      <c r="B100" s="121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1:13" ht="14.25">
      <c r="A101" s="54"/>
      <c r="B101" s="121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1:13" ht="14.25">
      <c r="A102" s="54"/>
      <c r="B102" s="121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1:13" ht="14.25">
      <c r="A103" s="54"/>
      <c r="B103" s="121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ht="14.25">
      <c r="A104" s="54"/>
      <c r="B104" s="121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1:13" ht="14.25">
      <c r="A105" s="54"/>
      <c r="B105" s="121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</sheetData>
  <mergeCells count="11">
    <mergeCell ref="Q4:Q5"/>
    <mergeCell ref="R4:R5"/>
    <mergeCell ref="S4:S5"/>
    <mergeCell ref="A1:S1"/>
    <mergeCell ref="A2:S2"/>
    <mergeCell ref="A3:S3"/>
    <mergeCell ref="A4:A5"/>
    <mergeCell ref="B4:B5"/>
    <mergeCell ref="C4:F4"/>
    <mergeCell ref="G4:J4"/>
    <mergeCell ref="K4:O4"/>
  </mergeCells>
  <printOptions/>
  <pageMargins left="0.23" right="0.19" top="1" bottom="1" header="0.5" footer="0.5"/>
  <pageSetup horizontalDpi="300" verticalDpi="3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9"/>
  <sheetViews>
    <sheetView workbookViewId="0" topLeftCell="A1">
      <selection activeCell="K16" sqref="K16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3" width="7.421875" style="0" customWidth="1"/>
    <col min="4" max="4" width="7.57421875" style="0" customWidth="1"/>
    <col min="5" max="5" width="6.28125" style="0" customWidth="1"/>
    <col min="6" max="6" width="5.00390625" style="0" customWidth="1"/>
    <col min="7" max="7" width="7.8515625" style="0" customWidth="1"/>
    <col min="8" max="8" width="7.421875" style="0" customWidth="1"/>
    <col min="9" max="9" width="6.57421875" style="0" customWidth="1"/>
    <col min="10" max="10" width="5.28125" style="0" customWidth="1"/>
    <col min="11" max="11" width="7.7109375" style="0" customWidth="1"/>
    <col min="12" max="12" width="7.57421875" style="0" customWidth="1"/>
    <col min="13" max="13" width="8.00390625" style="0" customWidth="1"/>
    <col min="14" max="14" width="6.57421875" style="0" customWidth="1"/>
    <col min="15" max="15" width="4.7109375" style="0" customWidth="1"/>
    <col min="16" max="16" width="1.8515625" style="0" customWidth="1"/>
    <col min="17" max="17" width="19.8515625" style="0" customWidth="1"/>
    <col min="18" max="18" width="11.28125" style="0" customWidth="1"/>
    <col min="19" max="19" width="6.57421875" style="0" customWidth="1"/>
  </cols>
  <sheetData>
    <row r="1" spans="1:19" ht="18">
      <c r="A1" s="215" t="s">
        <v>290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23.25" customHeight="1">
      <c r="A2" s="216" t="s">
        <v>291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21" thickBot="1">
      <c r="A3" s="217" t="s">
        <v>292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s="107" customFormat="1" ht="31.5" customHeight="1" thickBot="1" thickTop="1">
      <c r="A4" s="218" t="s">
        <v>258</v>
      </c>
      <c r="B4" s="218" t="s">
        <v>293</v>
      </c>
      <c r="C4" s="219" t="s">
        <v>260</v>
      </c>
      <c r="D4" s="219"/>
      <c r="E4" s="219"/>
      <c r="F4" s="219"/>
      <c r="G4" s="219" t="s">
        <v>261</v>
      </c>
      <c r="H4" s="219"/>
      <c r="I4" s="219"/>
      <c r="J4" s="219"/>
      <c r="K4" s="219" t="s">
        <v>262</v>
      </c>
      <c r="L4" s="219"/>
      <c r="M4" s="219"/>
      <c r="N4" s="219"/>
      <c r="O4" s="219"/>
      <c r="P4" s="106"/>
      <c r="Q4" s="214" t="s">
        <v>293</v>
      </c>
      <c r="R4" s="214" t="s">
        <v>263</v>
      </c>
      <c r="S4" s="221" t="s">
        <v>264</v>
      </c>
    </row>
    <row r="5" spans="1:19" s="107" customFormat="1" ht="95.25" customHeight="1" thickBot="1" thickTop="1">
      <c r="A5" s="218"/>
      <c r="B5" s="218"/>
      <c r="C5" s="130" t="s">
        <v>6</v>
      </c>
      <c r="D5" s="130" t="s">
        <v>15</v>
      </c>
      <c r="E5" s="130" t="s">
        <v>265</v>
      </c>
      <c r="F5" s="130" t="s">
        <v>266</v>
      </c>
      <c r="G5" s="130" t="s">
        <v>39</v>
      </c>
      <c r="H5" s="130" t="s">
        <v>244</v>
      </c>
      <c r="I5" s="130" t="s">
        <v>265</v>
      </c>
      <c r="J5" s="130" t="s">
        <v>266</v>
      </c>
      <c r="K5" s="130" t="s">
        <v>267</v>
      </c>
      <c r="L5" s="130" t="s">
        <v>268</v>
      </c>
      <c r="M5" s="130" t="s">
        <v>269</v>
      </c>
      <c r="N5" s="130" t="s">
        <v>265</v>
      </c>
      <c r="O5" s="131" t="s">
        <v>266</v>
      </c>
      <c r="P5" s="110"/>
      <c r="Q5" s="220"/>
      <c r="R5" s="214"/>
      <c r="S5" s="221"/>
    </row>
    <row r="6" spans="1:19" s="107" customFormat="1" ht="18.75" customHeight="1" thickBot="1" thickTop="1">
      <c r="A6" s="111">
        <v>1</v>
      </c>
      <c r="B6" s="111">
        <v>2</v>
      </c>
      <c r="C6" s="111">
        <v>3</v>
      </c>
      <c r="D6" s="111">
        <v>4</v>
      </c>
      <c r="E6" s="111">
        <v>5</v>
      </c>
      <c r="F6" s="111">
        <v>6</v>
      </c>
      <c r="G6" s="111">
        <v>7</v>
      </c>
      <c r="H6" s="111">
        <v>8</v>
      </c>
      <c r="I6" s="111">
        <v>9</v>
      </c>
      <c r="J6" s="111">
        <v>10</v>
      </c>
      <c r="K6" s="111">
        <v>11</v>
      </c>
      <c r="L6" s="111">
        <v>12</v>
      </c>
      <c r="M6" s="111">
        <v>13</v>
      </c>
      <c r="N6" s="111">
        <v>14</v>
      </c>
      <c r="O6" s="111">
        <v>15</v>
      </c>
      <c r="P6" s="132"/>
      <c r="Q6" s="113">
        <v>16</v>
      </c>
      <c r="R6" s="113" t="s">
        <v>270</v>
      </c>
      <c r="S6" s="133">
        <v>18</v>
      </c>
    </row>
    <row r="7" spans="1:19" ht="18" customHeight="1" thickBot="1" thickTop="1">
      <c r="A7" s="20">
        <v>1</v>
      </c>
      <c r="B7" s="88" t="s">
        <v>159</v>
      </c>
      <c r="C7" s="20">
        <v>14796.21</v>
      </c>
      <c r="D7" s="59">
        <v>762.07</v>
      </c>
      <c r="E7" s="59">
        <f>D7/C7*100</f>
        <v>5.1504405520062235</v>
      </c>
      <c r="F7" s="116">
        <v>51</v>
      </c>
      <c r="G7" s="59">
        <v>1714.05</v>
      </c>
      <c r="H7" s="59">
        <v>762.07</v>
      </c>
      <c r="I7" s="59">
        <f>H7/G7*100</f>
        <v>44.46019661036726</v>
      </c>
      <c r="J7" s="116">
        <v>43</v>
      </c>
      <c r="K7" s="59">
        <v>1388.39</v>
      </c>
      <c r="L7" s="59">
        <v>1426.87</v>
      </c>
      <c r="M7" s="59">
        <f>L7-K7</f>
        <v>38.47999999999979</v>
      </c>
      <c r="N7" s="59">
        <f>M7/K7*100</f>
        <v>2.771555542750941</v>
      </c>
      <c r="O7" s="116">
        <v>40</v>
      </c>
      <c r="Q7" s="117" t="s">
        <v>206</v>
      </c>
      <c r="R7" s="134">
        <f>'[2]Taluk RR Rank'!E47+'[2]Taluk RR Rank'!I47+'[2]Taluk RR Rank'!N47</f>
        <v>1008.0839818719037</v>
      </c>
      <c r="S7" s="135" t="s">
        <v>271</v>
      </c>
    </row>
    <row r="8" spans="1:19" ht="18" customHeight="1" thickBot="1" thickTop="1">
      <c r="A8" s="20">
        <v>2</v>
      </c>
      <c r="B8" s="88" t="s">
        <v>160</v>
      </c>
      <c r="C8" s="20">
        <v>2892.84</v>
      </c>
      <c r="D8" s="59">
        <v>206.56</v>
      </c>
      <c r="E8" s="59">
        <f aca="true" t="shared" si="0" ref="E8:E69">D8/C8*100</f>
        <v>7.140387992422672</v>
      </c>
      <c r="F8" s="116">
        <v>46</v>
      </c>
      <c r="G8" s="59">
        <v>587.56</v>
      </c>
      <c r="H8" s="59">
        <v>206.56</v>
      </c>
      <c r="I8" s="59">
        <f aca="true" t="shared" si="1" ref="I8:I69">H8/G8*100</f>
        <v>35.15555858125128</v>
      </c>
      <c r="J8" s="116">
        <v>51</v>
      </c>
      <c r="K8" s="59">
        <v>326.74</v>
      </c>
      <c r="L8" s="59">
        <v>383.33</v>
      </c>
      <c r="M8" s="59">
        <f aca="true" t="shared" si="2" ref="M8:M69">L8-K8</f>
        <v>56.589999999999975</v>
      </c>
      <c r="N8" s="59">
        <f aca="true" t="shared" si="3" ref="N8:N69">M8/K8*100</f>
        <v>17.319581318479514</v>
      </c>
      <c r="O8" s="116">
        <v>28</v>
      </c>
      <c r="Q8" s="117" t="s">
        <v>218</v>
      </c>
      <c r="R8" s="134">
        <f>'[2]Taluk RR Rank'!E57+'[2]Taluk RR Rank'!I57+'[2]Taluk RR Rank'!N57</f>
        <v>906.9116696803038</v>
      </c>
      <c r="S8" s="135" t="s">
        <v>272</v>
      </c>
    </row>
    <row r="9" spans="1:19" ht="18" customHeight="1" thickBot="1" thickTop="1">
      <c r="A9" s="20">
        <v>3</v>
      </c>
      <c r="B9" s="88" t="s">
        <v>161</v>
      </c>
      <c r="C9" s="20">
        <v>1463.28</v>
      </c>
      <c r="D9" s="59">
        <v>141.25</v>
      </c>
      <c r="E9" s="59">
        <f t="shared" si="0"/>
        <v>9.65297140670275</v>
      </c>
      <c r="F9" s="116">
        <v>37</v>
      </c>
      <c r="G9" s="59">
        <v>538.64</v>
      </c>
      <c r="H9" s="59">
        <v>141.25</v>
      </c>
      <c r="I9" s="59">
        <f t="shared" si="1"/>
        <v>26.22345165602258</v>
      </c>
      <c r="J9" s="116">
        <v>59</v>
      </c>
      <c r="K9" s="59">
        <v>368.7</v>
      </c>
      <c r="L9" s="59">
        <v>386.4</v>
      </c>
      <c r="M9" s="59">
        <f t="shared" si="2"/>
        <v>17.69999999999999</v>
      </c>
      <c r="N9" s="59">
        <f t="shared" si="3"/>
        <v>4.800650935720094</v>
      </c>
      <c r="O9" s="116">
        <v>36</v>
      </c>
      <c r="Q9" s="117" t="s">
        <v>215</v>
      </c>
      <c r="R9" s="134">
        <f>'[2]Taluk RR Rank'!E54+'[2]Taluk RR Rank'!I54+'[2]Taluk RR Rank'!N54</f>
        <v>627.5943338979044</v>
      </c>
      <c r="S9" s="135" t="s">
        <v>273</v>
      </c>
    </row>
    <row r="10" spans="1:19" ht="18" customHeight="1" thickBot="1" thickTop="1">
      <c r="A10" s="20">
        <v>4</v>
      </c>
      <c r="B10" s="88" t="s">
        <v>162</v>
      </c>
      <c r="C10" s="20">
        <v>3365.53</v>
      </c>
      <c r="D10" s="59">
        <v>223.77</v>
      </c>
      <c r="E10" s="59">
        <f t="shared" si="0"/>
        <v>6.64887848273526</v>
      </c>
      <c r="F10" s="116">
        <v>47</v>
      </c>
      <c r="G10" s="59">
        <v>594.66</v>
      </c>
      <c r="H10" s="59">
        <v>223.77</v>
      </c>
      <c r="I10" s="59">
        <f t="shared" si="1"/>
        <v>37.62990616486732</v>
      </c>
      <c r="J10" s="116">
        <v>49</v>
      </c>
      <c r="K10" s="59">
        <v>458.93</v>
      </c>
      <c r="L10" s="59">
        <v>566.79</v>
      </c>
      <c r="M10" s="59">
        <f t="shared" si="2"/>
        <v>107.85999999999996</v>
      </c>
      <c r="N10" s="59">
        <f t="shared" si="3"/>
        <v>23.5024949338679</v>
      </c>
      <c r="O10" s="116">
        <v>24</v>
      </c>
      <c r="Q10" s="117" t="s">
        <v>217</v>
      </c>
      <c r="R10" s="134">
        <f>'[2]Taluk RR Rank'!E56+'[2]Taluk RR Rank'!I56+'[2]Taluk RR Rank'!N56</f>
        <v>433.03889966238364</v>
      </c>
      <c r="S10" s="135" t="s">
        <v>274</v>
      </c>
    </row>
    <row r="11" spans="1:19" ht="18" customHeight="1" thickBot="1" thickTop="1">
      <c r="A11" s="20">
        <v>5</v>
      </c>
      <c r="B11" s="88" t="s">
        <v>164</v>
      </c>
      <c r="C11" s="20">
        <v>30443.45</v>
      </c>
      <c r="D11" s="59">
        <v>398.12</v>
      </c>
      <c r="E11" s="59">
        <f t="shared" si="0"/>
        <v>1.307736146855892</v>
      </c>
      <c r="F11" s="116">
        <v>61</v>
      </c>
      <c r="G11" s="59">
        <v>1466.63</v>
      </c>
      <c r="H11" s="59">
        <v>398.12</v>
      </c>
      <c r="I11" s="59">
        <f t="shared" si="1"/>
        <v>27.14522408514758</v>
      </c>
      <c r="J11" s="116">
        <v>58</v>
      </c>
      <c r="K11" s="59">
        <v>1171.94</v>
      </c>
      <c r="L11" s="59">
        <v>1324.02</v>
      </c>
      <c r="M11" s="59">
        <f t="shared" si="2"/>
        <v>152.07999999999993</v>
      </c>
      <c r="N11" s="59">
        <f t="shared" si="3"/>
        <v>12.976773554960145</v>
      </c>
      <c r="O11" s="116">
        <v>31</v>
      </c>
      <c r="Q11" s="117" t="s">
        <v>190</v>
      </c>
      <c r="R11" s="134">
        <f>'[2]Taluk RR Rank'!E33+'[2]Taluk RR Rank'!I33+'[2]Taluk RR Rank'!N33</f>
        <v>421.5344585833357</v>
      </c>
      <c r="S11" s="135" t="s">
        <v>275</v>
      </c>
    </row>
    <row r="12" spans="1:19" ht="18" customHeight="1" thickBot="1" thickTop="1">
      <c r="A12" s="20">
        <v>6</v>
      </c>
      <c r="B12" s="88" t="s">
        <v>165</v>
      </c>
      <c r="C12" s="20">
        <v>1202.22</v>
      </c>
      <c r="D12" s="59">
        <v>258.67</v>
      </c>
      <c r="E12" s="59">
        <f t="shared" si="0"/>
        <v>21.516028680274825</v>
      </c>
      <c r="F12" s="116">
        <v>18</v>
      </c>
      <c r="G12" s="59">
        <v>418.25</v>
      </c>
      <c r="H12" s="59">
        <v>258.67</v>
      </c>
      <c r="I12" s="59">
        <f t="shared" si="1"/>
        <v>61.84578601315004</v>
      </c>
      <c r="J12" s="116">
        <v>31</v>
      </c>
      <c r="K12" s="59">
        <v>289.52</v>
      </c>
      <c r="L12" s="59">
        <v>335.52</v>
      </c>
      <c r="M12" s="59">
        <f t="shared" si="2"/>
        <v>46</v>
      </c>
      <c r="N12" s="59">
        <f t="shared" si="3"/>
        <v>15.888366952196739</v>
      </c>
      <c r="O12" s="116">
        <v>29</v>
      </c>
      <c r="Q12" s="117" t="s">
        <v>216</v>
      </c>
      <c r="R12" s="134">
        <f>'[2]Taluk RR Rank'!E55+'[2]Taluk RR Rank'!I55+'[2]Taluk RR Rank'!N55</f>
        <v>392.5178192872774</v>
      </c>
      <c r="S12" s="135" t="s">
        <v>276</v>
      </c>
    </row>
    <row r="13" spans="1:19" ht="18" customHeight="1" thickBot="1" thickTop="1">
      <c r="A13" s="20">
        <v>7</v>
      </c>
      <c r="B13" s="88" t="s">
        <v>166</v>
      </c>
      <c r="C13" s="20">
        <v>14905.25</v>
      </c>
      <c r="D13" s="59">
        <v>159.94</v>
      </c>
      <c r="E13" s="59">
        <f t="shared" si="0"/>
        <v>1.073044732560675</v>
      </c>
      <c r="F13" s="116">
        <v>62</v>
      </c>
      <c r="G13" s="59">
        <v>505.6399999999994</v>
      </c>
      <c r="H13" s="59">
        <v>159.94</v>
      </c>
      <c r="I13" s="59">
        <f t="shared" si="1"/>
        <v>31.63120006328617</v>
      </c>
      <c r="J13" s="116">
        <v>52</v>
      </c>
      <c r="K13" s="59">
        <v>406.92</v>
      </c>
      <c r="L13" s="59">
        <v>331.74</v>
      </c>
      <c r="M13" s="59">
        <f t="shared" si="2"/>
        <v>-75.18</v>
      </c>
      <c r="N13" s="59">
        <f t="shared" si="3"/>
        <v>-18.475375995281627</v>
      </c>
      <c r="O13" s="116">
        <v>52</v>
      </c>
      <c r="Q13" s="117" t="s">
        <v>214</v>
      </c>
      <c r="R13" s="134">
        <f>'[2]Taluk RR Rank'!E53+'[2]Taluk RR Rank'!I53+'[2]Taluk RR Rank'!N53</f>
        <v>335.90073834813745</v>
      </c>
      <c r="S13" s="135" t="s">
        <v>277</v>
      </c>
    </row>
    <row r="14" spans="1:19" ht="18" customHeight="1" thickBot="1" thickTop="1">
      <c r="A14" s="20">
        <v>8</v>
      </c>
      <c r="B14" s="88" t="s">
        <v>167</v>
      </c>
      <c r="C14" s="20">
        <v>801.22</v>
      </c>
      <c r="D14" s="59">
        <v>105.59</v>
      </c>
      <c r="E14" s="59">
        <f t="shared" si="0"/>
        <v>13.178652554853848</v>
      </c>
      <c r="F14" s="116">
        <v>29</v>
      </c>
      <c r="G14" s="59">
        <v>346.92</v>
      </c>
      <c r="H14" s="59">
        <v>105.59</v>
      </c>
      <c r="I14" s="59">
        <f t="shared" si="1"/>
        <v>30.436411852876745</v>
      </c>
      <c r="J14" s="116">
        <v>53</v>
      </c>
      <c r="K14" s="59">
        <v>197.78</v>
      </c>
      <c r="L14" s="59">
        <v>235.18</v>
      </c>
      <c r="M14" s="59">
        <f t="shared" si="2"/>
        <v>37.400000000000006</v>
      </c>
      <c r="N14" s="59">
        <f t="shared" si="3"/>
        <v>18.909899888765295</v>
      </c>
      <c r="O14" s="116">
        <v>25</v>
      </c>
      <c r="Q14" s="117" t="s">
        <v>223</v>
      </c>
      <c r="R14" s="134">
        <f>'[2]Taluk RR Rank'!E61+'[2]Taluk RR Rank'!I61+'[2]Taluk RR Rank'!N61</f>
        <v>324.4595239766331</v>
      </c>
      <c r="S14" s="135" t="s">
        <v>278</v>
      </c>
    </row>
    <row r="15" spans="1:19" ht="18" customHeight="1" thickBot="1" thickTop="1">
      <c r="A15" s="20">
        <v>9</v>
      </c>
      <c r="B15" s="88" t="s">
        <v>168</v>
      </c>
      <c r="C15" s="20">
        <v>364.63</v>
      </c>
      <c r="D15" s="59">
        <v>88.98</v>
      </c>
      <c r="E15" s="59">
        <f t="shared" si="0"/>
        <v>24.402819296272934</v>
      </c>
      <c r="F15" s="116">
        <v>15</v>
      </c>
      <c r="G15" s="59">
        <v>150.86</v>
      </c>
      <c r="H15" s="59">
        <v>88.98</v>
      </c>
      <c r="I15" s="59">
        <f t="shared" si="1"/>
        <v>58.98183746519952</v>
      </c>
      <c r="J15" s="116">
        <v>34</v>
      </c>
      <c r="K15" s="59">
        <v>76.02</v>
      </c>
      <c r="L15" s="59">
        <v>110.67</v>
      </c>
      <c r="M15" s="59">
        <f t="shared" si="2"/>
        <v>34.650000000000006</v>
      </c>
      <c r="N15" s="59">
        <f t="shared" si="3"/>
        <v>45.580110497237584</v>
      </c>
      <c r="O15" s="116">
        <v>13</v>
      </c>
      <c r="Q15" s="117" t="s">
        <v>219</v>
      </c>
      <c r="R15" s="134">
        <f>'[2]Taluk RR Rank'!E58+'[2]Taluk RR Rank'!I58+'[2]Taluk RR Rank'!N58</f>
        <v>306.66355725157104</v>
      </c>
      <c r="S15" s="135" t="s">
        <v>279</v>
      </c>
    </row>
    <row r="16" spans="1:19" ht="18" customHeight="1" thickBot="1" thickTop="1">
      <c r="A16" s="20">
        <v>10</v>
      </c>
      <c r="B16" s="88" t="s">
        <v>170</v>
      </c>
      <c r="C16" s="20">
        <v>2783.95</v>
      </c>
      <c r="D16" s="59">
        <v>329.72</v>
      </c>
      <c r="E16" s="59">
        <f t="shared" si="0"/>
        <v>11.843603512994129</v>
      </c>
      <c r="F16" s="116">
        <v>31</v>
      </c>
      <c r="G16" s="59">
        <v>264.68</v>
      </c>
      <c r="H16" s="59">
        <v>329.72</v>
      </c>
      <c r="I16" s="59">
        <f t="shared" si="1"/>
        <v>124.57306936678253</v>
      </c>
      <c r="J16" s="116">
        <v>15</v>
      </c>
      <c r="K16" s="59">
        <v>188.66</v>
      </c>
      <c r="L16" s="59">
        <v>214.94</v>
      </c>
      <c r="M16" s="59">
        <f t="shared" si="2"/>
        <v>26.28</v>
      </c>
      <c r="N16" s="59">
        <f t="shared" si="3"/>
        <v>13.929820841725856</v>
      </c>
      <c r="O16" s="116">
        <v>30</v>
      </c>
      <c r="Q16" s="117" t="s">
        <v>173</v>
      </c>
      <c r="R16" s="134">
        <f>'[2]Taluk RR Rank'!E19+'[2]Taluk RR Rank'!I19+'[2]Taluk RR Rank'!N19</f>
        <v>293.24339035264467</v>
      </c>
      <c r="S16" s="135" t="s">
        <v>280</v>
      </c>
    </row>
    <row r="17" spans="1:19" ht="18" customHeight="1" thickBot="1" thickTop="1">
      <c r="A17" s="20">
        <v>11</v>
      </c>
      <c r="B17" s="88" t="s">
        <v>171</v>
      </c>
      <c r="C17" s="20">
        <v>2009.54</v>
      </c>
      <c r="D17" s="59">
        <v>204.61</v>
      </c>
      <c r="E17" s="59">
        <f t="shared" si="0"/>
        <v>10.181932183484777</v>
      </c>
      <c r="F17" s="116">
        <v>34</v>
      </c>
      <c r="G17" s="59">
        <v>258.9</v>
      </c>
      <c r="H17" s="59">
        <v>204.61</v>
      </c>
      <c r="I17" s="59">
        <f t="shared" si="1"/>
        <v>79.03051371185788</v>
      </c>
      <c r="J17" s="116">
        <v>24</v>
      </c>
      <c r="K17" s="59">
        <v>149.32</v>
      </c>
      <c r="L17" s="59">
        <v>250.63</v>
      </c>
      <c r="M17" s="59">
        <f t="shared" si="2"/>
        <v>101.31</v>
      </c>
      <c r="N17" s="59">
        <f t="shared" si="3"/>
        <v>67.84757567639969</v>
      </c>
      <c r="O17" s="116">
        <v>8</v>
      </c>
      <c r="Q17" s="117" t="s">
        <v>227</v>
      </c>
      <c r="R17" s="134">
        <f>'[2]Taluk RR Rank'!E64+'[2]Taluk RR Rank'!I64+'[2]Taluk RR Rank'!N64</f>
        <v>253.99670486523377</v>
      </c>
      <c r="S17" s="135" t="s">
        <v>281</v>
      </c>
    </row>
    <row r="18" spans="1:19" ht="18" customHeight="1" thickBot="1" thickTop="1">
      <c r="A18" s="20">
        <v>12</v>
      </c>
      <c r="B18" s="88" t="s">
        <v>172</v>
      </c>
      <c r="C18" s="20">
        <v>3683.92</v>
      </c>
      <c r="D18" s="59">
        <v>154.57</v>
      </c>
      <c r="E18" s="59">
        <f t="shared" si="0"/>
        <v>4.195802297552607</v>
      </c>
      <c r="F18" s="116">
        <v>55</v>
      </c>
      <c r="G18" s="59">
        <v>250.59</v>
      </c>
      <c r="H18" s="59">
        <v>154.57</v>
      </c>
      <c r="I18" s="59">
        <f t="shared" si="1"/>
        <v>61.682429466459155</v>
      </c>
      <c r="J18" s="116">
        <v>32</v>
      </c>
      <c r="K18" s="59">
        <v>160.21</v>
      </c>
      <c r="L18" s="59">
        <v>228.43</v>
      </c>
      <c r="M18" s="59">
        <f t="shared" si="2"/>
        <v>68.22</v>
      </c>
      <c r="N18" s="59">
        <f t="shared" si="3"/>
        <v>42.58161163472941</v>
      </c>
      <c r="O18" s="116">
        <v>16</v>
      </c>
      <c r="Q18" s="117" t="s">
        <v>230</v>
      </c>
      <c r="R18" s="134">
        <f>'[2]Taluk RR Rank'!E66+'[2]Taluk RR Rank'!I66+'[2]Taluk RR Rank'!N66</f>
        <v>227.78050703179173</v>
      </c>
      <c r="S18" s="135" t="s">
        <v>282</v>
      </c>
    </row>
    <row r="19" spans="1:19" ht="18" customHeight="1" thickBot="1" thickTop="1">
      <c r="A19" s="20">
        <v>13</v>
      </c>
      <c r="B19" s="88" t="s">
        <v>173</v>
      </c>
      <c r="C19" s="20">
        <v>301.36</v>
      </c>
      <c r="D19" s="59">
        <v>222.04</v>
      </c>
      <c r="E19" s="59">
        <f t="shared" si="0"/>
        <v>73.67932041412264</v>
      </c>
      <c r="F19" s="116">
        <v>4</v>
      </c>
      <c r="G19" s="59">
        <v>94.99</v>
      </c>
      <c r="H19" s="59">
        <v>222.04</v>
      </c>
      <c r="I19" s="59">
        <f t="shared" si="1"/>
        <v>233.7509211495947</v>
      </c>
      <c r="J19" s="116">
        <v>7</v>
      </c>
      <c r="K19" s="59">
        <v>80.92</v>
      </c>
      <c r="L19" s="59">
        <v>69.44</v>
      </c>
      <c r="M19" s="59">
        <f t="shared" si="2"/>
        <v>-11.480000000000004</v>
      </c>
      <c r="N19" s="59">
        <f t="shared" si="3"/>
        <v>-14.186851211072668</v>
      </c>
      <c r="O19" s="116">
        <v>50</v>
      </c>
      <c r="Q19" s="117" t="s">
        <v>203</v>
      </c>
      <c r="R19" s="134">
        <f>'[2]Taluk RR Rank'!E44+'[2]Taluk RR Rank'!I44+'[2]Taluk RR Rank'!N44</f>
        <v>210.18795551736753</v>
      </c>
      <c r="S19" s="135" t="s">
        <v>283</v>
      </c>
    </row>
    <row r="20" spans="1:19" ht="18" customHeight="1" thickBot="1" thickTop="1">
      <c r="A20" s="20">
        <v>14</v>
      </c>
      <c r="B20" s="88" t="s">
        <v>174</v>
      </c>
      <c r="C20" s="20">
        <v>444.83</v>
      </c>
      <c r="D20" s="59">
        <v>54.85</v>
      </c>
      <c r="E20" s="59">
        <f t="shared" si="0"/>
        <v>12.33055324505991</v>
      </c>
      <c r="F20" s="116">
        <v>30</v>
      </c>
      <c r="G20" s="59">
        <v>63.57000000000005</v>
      </c>
      <c r="H20" s="59">
        <v>54.85</v>
      </c>
      <c r="I20" s="59">
        <f t="shared" si="1"/>
        <v>86.28283781658008</v>
      </c>
      <c r="J20" s="116">
        <v>19</v>
      </c>
      <c r="K20" s="59">
        <v>53.39</v>
      </c>
      <c r="L20" s="59">
        <v>53.74</v>
      </c>
      <c r="M20" s="59">
        <f t="shared" si="2"/>
        <v>0.3500000000000014</v>
      </c>
      <c r="N20" s="59">
        <f t="shared" si="3"/>
        <v>0.6555534744334172</v>
      </c>
      <c r="O20" s="116">
        <v>42</v>
      </c>
      <c r="Q20" s="117" t="s">
        <v>234</v>
      </c>
      <c r="R20" s="134">
        <f>'[2]Taluk RR Rank'!E69+'[2]Taluk RR Rank'!I69+'[2]Taluk RR Rank'!N69</f>
        <v>205.16109886151884</v>
      </c>
      <c r="S20" s="135" t="s">
        <v>284</v>
      </c>
    </row>
    <row r="21" spans="1:19" ht="18" customHeight="1" thickBot="1" thickTop="1">
      <c r="A21" s="20">
        <v>15</v>
      </c>
      <c r="B21" s="88" t="s">
        <v>176</v>
      </c>
      <c r="C21" s="20">
        <v>722.13</v>
      </c>
      <c r="D21" s="20">
        <v>79.57</v>
      </c>
      <c r="E21" s="59">
        <f t="shared" si="0"/>
        <v>11.01879163031587</v>
      </c>
      <c r="F21" s="136">
        <v>33</v>
      </c>
      <c r="G21" s="20">
        <v>198.02</v>
      </c>
      <c r="H21" s="20">
        <v>79.57</v>
      </c>
      <c r="I21" s="59">
        <f t="shared" si="1"/>
        <v>40.182809817190176</v>
      </c>
      <c r="J21" s="136">
        <v>46</v>
      </c>
      <c r="K21" s="20">
        <v>130.01</v>
      </c>
      <c r="L21" s="20">
        <v>170.89</v>
      </c>
      <c r="M21" s="59">
        <f t="shared" si="2"/>
        <v>40.879999999999995</v>
      </c>
      <c r="N21" s="59">
        <f t="shared" si="3"/>
        <v>31.443735097300205</v>
      </c>
      <c r="O21" s="136">
        <v>20</v>
      </c>
      <c r="Q21" s="117" t="s">
        <v>191</v>
      </c>
      <c r="R21" s="134">
        <f>'[2]Taluk RR Rank'!E34+'[2]Taluk RR Rank'!I34+'[2]Taluk RR Rank'!N34</f>
        <v>171.72421210474428</v>
      </c>
      <c r="S21" s="135" t="s">
        <v>294</v>
      </c>
    </row>
    <row r="22" spans="1:19" s="67" customFormat="1" ht="18" customHeight="1" thickBot="1" thickTop="1">
      <c r="A22" s="24">
        <v>16</v>
      </c>
      <c r="B22" s="88" t="s">
        <v>177</v>
      </c>
      <c r="C22" s="24">
        <v>524.63</v>
      </c>
      <c r="D22" s="24">
        <v>113.94</v>
      </c>
      <c r="E22" s="58">
        <f t="shared" si="0"/>
        <v>21.718163276976156</v>
      </c>
      <c r="F22" s="137">
        <v>17</v>
      </c>
      <c r="G22" s="24">
        <v>137.12</v>
      </c>
      <c r="H22" s="24">
        <v>113.94</v>
      </c>
      <c r="I22" s="58">
        <f t="shared" si="1"/>
        <v>83.09509918319719</v>
      </c>
      <c r="J22" s="137">
        <v>20</v>
      </c>
      <c r="K22" s="24">
        <v>86.16</v>
      </c>
      <c r="L22" s="24">
        <v>123.52</v>
      </c>
      <c r="M22" s="58">
        <f t="shared" si="2"/>
        <v>37.36</v>
      </c>
      <c r="N22" s="58">
        <f t="shared" si="3"/>
        <v>43.361188486536676</v>
      </c>
      <c r="O22" s="137">
        <v>15</v>
      </c>
      <c r="Q22" s="117" t="s">
        <v>225</v>
      </c>
      <c r="R22" s="134">
        <f>'[2]Taluk RR Rank'!E62+'[2]Taluk RR Rank'!I62+'[2]Taluk RR Rank'!N62</f>
        <v>164.94118196948068</v>
      </c>
      <c r="S22" s="135" t="s">
        <v>295</v>
      </c>
    </row>
    <row r="23" spans="1:19" ht="18" customHeight="1" thickBot="1" thickTop="1">
      <c r="A23" s="20">
        <v>17</v>
      </c>
      <c r="B23" s="88" t="s">
        <v>178</v>
      </c>
      <c r="C23" s="20">
        <v>393.47</v>
      </c>
      <c r="D23" s="20">
        <v>90.7</v>
      </c>
      <c r="E23" s="59">
        <f t="shared" si="0"/>
        <v>23.051312679492717</v>
      </c>
      <c r="F23" s="137">
        <v>16</v>
      </c>
      <c r="G23" s="20">
        <v>114.46</v>
      </c>
      <c r="H23" s="20">
        <v>90.7</v>
      </c>
      <c r="I23" s="59">
        <f t="shared" si="1"/>
        <v>79.24165647387734</v>
      </c>
      <c r="J23" s="137">
        <v>23</v>
      </c>
      <c r="K23" s="20">
        <v>73.81</v>
      </c>
      <c r="L23" s="20">
        <v>102.21</v>
      </c>
      <c r="M23" s="59">
        <f t="shared" si="2"/>
        <v>28.39999999999999</v>
      </c>
      <c r="N23" s="59">
        <f t="shared" si="3"/>
        <v>38.47717111502505</v>
      </c>
      <c r="O23" s="137">
        <v>17</v>
      </c>
      <c r="Q23" s="117" t="s">
        <v>211</v>
      </c>
      <c r="R23" s="134">
        <f>'[2]Taluk RR Rank'!E51+'[2]Taluk RR Rank'!I51+'[2]Taluk RR Rank'!N51</f>
        <v>160.56373670046594</v>
      </c>
      <c r="S23" s="135" t="s">
        <v>296</v>
      </c>
    </row>
    <row r="24" spans="1:19" ht="18" customHeight="1" thickBot="1" thickTop="1">
      <c r="A24" s="20">
        <v>18</v>
      </c>
      <c r="B24" s="88" t="s">
        <v>179</v>
      </c>
      <c r="C24" s="20">
        <v>484.09</v>
      </c>
      <c r="D24" s="20">
        <v>46.08</v>
      </c>
      <c r="E24" s="59">
        <f t="shared" si="0"/>
        <v>9.51889111528848</v>
      </c>
      <c r="F24" s="137">
        <v>38</v>
      </c>
      <c r="G24" s="20">
        <v>159.69</v>
      </c>
      <c r="H24" s="20">
        <v>46.08</v>
      </c>
      <c r="I24" s="59">
        <f t="shared" si="1"/>
        <v>28.855908322374603</v>
      </c>
      <c r="J24" s="137">
        <v>57</v>
      </c>
      <c r="K24" s="20">
        <v>47.36</v>
      </c>
      <c r="L24" s="20">
        <v>80.37</v>
      </c>
      <c r="M24" s="59">
        <f t="shared" si="2"/>
        <v>33.010000000000005</v>
      </c>
      <c r="N24" s="59">
        <f t="shared" si="3"/>
        <v>69.70016891891892</v>
      </c>
      <c r="O24" s="137">
        <v>7</v>
      </c>
      <c r="Q24" s="117" t="s">
        <v>212</v>
      </c>
      <c r="R24" s="134">
        <f>'[2]Taluk RR Rank'!E52+'[2]Taluk RR Rank'!I52+'[2]Taluk RR Rank'!N52</f>
        <v>157.84454836638398</v>
      </c>
      <c r="S24" s="135" t="s">
        <v>297</v>
      </c>
    </row>
    <row r="25" spans="1:19" ht="18" customHeight="1" thickBot="1" thickTop="1">
      <c r="A25" s="20">
        <v>19</v>
      </c>
      <c r="B25" s="88" t="s">
        <v>180</v>
      </c>
      <c r="C25" s="20">
        <v>2162.14</v>
      </c>
      <c r="D25" s="20">
        <v>94.86</v>
      </c>
      <c r="E25" s="59">
        <f t="shared" si="0"/>
        <v>4.387319970029694</v>
      </c>
      <c r="F25" s="137">
        <v>53</v>
      </c>
      <c r="G25" s="20">
        <v>399.8</v>
      </c>
      <c r="H25" s="20">
        <v>94.86</v>
      </c>
      <c r="I25" s="59">
        <f t="shared" si="1"/>
        <v>23.72686343171586</v>
      </c>
      <c r="J25" s="137">
        <v>61</v>
      </c>
      <c r="K25" s="20">
        <v>288.1</v>
      </c>
      <c r="L25" s="20">
        <v>341.05</v>
      </c>
      <c r="M25" s="59">
        <f t="shared" si="2"/>
        <v>52.94999999999999</v>
      </c>
      <c r="N25" s="59">
        <f t="shared" si="3"/>
        <v>18.379035057271775</v>
      </c>
      <c r="O25" s="137">
        <v>26</v>
      </c>
      <c r="Q25" s="117" t="s">
        <v>171</v>
      </c>
      <c r="R25" s="134">
        <f>'[2]Taluk RR Rank'!E17+'[2]Taluk RR Rank'!I17+'[2]Taluk RR Rank'!N17</f>
        <v>157.06002157174234</v>
      </c>
      <c r="S25" s="135" t="s">
        <v>298</v>
      </c>
    </row>
    <row r="26" spans="1:19" ht="18" customHeight="1" thickBot="1" thickTop="1">
      <c r="A26" s="20">
        <v>20</v>
      </c>
      <c r="B26" s="88" t="s">
        <v>181</v>
      </c>
      <c r="C26" s="20">
        <v>3005.74</v>
      </c>
      <c r="D26" s="20">
        <v>104.06</v>
      </c>
      <c r="E26" s="59">
        <f t="shared" si="0"/>
        <v>3.462042625110622</v>
      </c>
      <c r="F26" s="137">
        <v>57</v>
      </c>
      <c r="G26" s="20">
        <v>419.31</v>
      </c>
      <c r="H26" s="20">
        <v>104.06</v>
      </c>
      <c r="I26" s="59">
        <f t="shared" si="1"/>
        <v>24.81696119815888</v>
      </c>
      <c r="J26" s="137">
        <v>60</v>
      </c>
      <c r="K26" s="20">
        <v>304.42</v>
      </c>
      <c r="L26" s="20">
        <v>393.07</v>
      </c>
      <c r="M26" s="59">
        <f t="shared" si="2"/>
        <v>88.64999999999998</v>
      </c>
      <c r="N26" s="59">
        <f t="shared" si="3"/>
        <v>29.120951317259042</v>
      </c>
      <c r="O26" s="137">
        <v>22</v>
      </c>
      <c r="Q26" s="117" t="s">
        <v>170</v>
      </c>
      <c r="R26" s="134">
        <f>'[2]Taluk RR Rank'!E16+'[2]Taluk RR Rank'!I16+'[2]Taluk RR Rank'!N16</f>
        <v>150.3464937215025</v>
      </c>
      <c r="S26" s="135" t="s">
        <v>299</v>
      </c>
    </row>
    <row r="27" spans="1:19" ht="18" customHeight="1" thickBot="1" thickTop="1">
      <c r="A27" s="20">
        <v>21</v>
      </c>
      <c r="B27" s="88" t="s">
        <v>183</v>
      </c>
      <c r="C27" s="20">
        <v>1153.74</v>
      </c>
      <c r="D27" s="20">
        <v>103.37</v>
      </c>
      <c r="E27" s="59">
        <f t="shared" si="0"/>
        <v>8.959557612633697</v>
      </c>
      <c r="F27" s="137">
        <v>41</v>
      </c>
      <c r="G27" s="20">
        <v>193.66</v>
      </c>
      <c r="H27" s="20">
        <v>103.37</v>
      </c>
      <c r="I27" s="59">
        <f t="shared" si="1"/>
        <v>53.37705256635341</v>
      </c>
      <c r="J27" s="137">
        <v>37</v>
      </c>
      <c r="K27" s="20">
        <v>246.89</v>
      </c>
      <c r="L27" s="20">
        <v>160.61</v>
      </c>
      <c r="M27" s="59">
        <f t="shared" si="2"/>
        <v>-86.27999999999997</v>
      </c>
      <c r="N27" s="59">
        <f t="shared" si="3"/>
        <v>-34.94673741342297</v>
      </c>
      <c r="O27" s="137">
        <v>56</v>
      </c>
      <c r="Q27" s="117" t="s">
        <v>226</v>
      </c>
      <c r="R27" s="134">
        <f>'[2]Taluk RR Rank'!E63+'[2]Taluk RR Rank'!I63+'[2]Taluk RR Rank'!N63</f>
        <v>148.73618253508155</v>
      </c>
      <c r="S27" s="135" t="s">
        <v>300</v>
      </c>
    </row>
    <row r="28" spans="1:19" ht="18" customHeight="1" thickBot="1" thickTop="1">
      <c r="A28" s="20">
        <v>22</v>
      </c>
      <c r="B28" s="88" t="s">
        <v>184</v>
      </c>
      <c r="C28" s="20">
        <v>507.27</v>
      </c>
      <c r="D28" s="20">
        <v>137.84</v>
      </c>
      <c r="E28" s="59">
        <f t="shared" si="0"/>
        <v>27.17290594752302</v>
      </c>
      <c r="F28" s="137">
        <v>13</v>
      </c>
      <c r="G28" s="20">
        <v>188.14</v>
      </c>
      <c r="H28" s="20">
        <v>137.84</v>
      </c>
      <c r="I28" s="59">
        <f t="shared" si="1"/>
        <v>73.26459019878814</v>
      </c>
      <c r="J28" s="137">
        <v>27</v>
      </c>
      <c r="K28" s="20">
        <v>165.63</v>
      </c>
      <c r="L28" s="20">
        <v>178.81</v>
      </c>
      <c r="M28" s="59">
        <f t="shared" si="2"/>
        <v>13.180000000000007</v>
      </c>
      <c r="N28" s="59">
        <f t="shared" si="3"/>
        <v>7.957495622773656</v>
      </c>
      <c r="O28" s="137">
        <v>33</v>
      </c>
      <c r="Q28" s="117" t="s">
        <v>177</v>
      </c>
      <c r="R28" s="134">
        <f>'[2]Taluk RR Rank'!E22+'[2]Taluk RR Rank'!I22+'[2]Taluk RR Rank'!N22</f>
        <v>148.17445094671</v>
      </c>
      <c r="S28" s="135" t="s">
        <v>301</v>
      </c>
    </row>
    <row r="29" spans="1:19" ht="18" customHeight="1" thickBot="1" thickTop="1">
      <c r="A29" s="20">
        <v>23</v>
      </c>
      <c r="B29" s="88" t="s">
        <v>185</v>
      </c>
      <c r="C29" s="20">
        <v>3475.16</v>
      </c>
      <c r="D29" s="20">
        <v>306.03</v>
      </c>
      <c r="E29" s="59">
        <f t="shared" si="0"/>
        <v>8.80621323910266</v>
      </c>
      <c r="F29" s="137">
        <v>42</v>
      </c>
      <c r="G29" s="20">
        <v>654.71</v>
      </c>
      <c r="H29" s="20">
        <v>306.03</v>
      </c>
      <c r="I29" s="59">
        <f t="shared" si="1"/>
        <v>46.74283270455621</v>
      </c>
      <c r="J29" s="137">
        <v>42</v>
      </c>
      <c r="K29" s="20">
        <v>637.35</v>
      </c>
      <c r="L29" s="20">
        <v>600.65</v>
      </c>
      <c r="M29" s="59">
        <f t="shared" si="2"/>
        <v>-36.700000000000045</v>
      </c>
      <c r="N29" s="59">
        <f t="shared" si="3"/>
        <v>-5.758217619832124</v>
      </c>
      <c r="O29" s="137">
        <v>44</v>
      </c>
      <c r="Q29" s="117" t="s">
        <v>178</v>
      </c>
      <c r="R29" s="134">
        <f>'[2]Taluk RR Rank'!E23+'[2]Taluk RR Rank'!I23+'[2]Taluk RR Rank'!N23</f>
        <v>140.7701402683951</v>
      </c>
      <c r="S29" s="135" t="s">
        <v>302</v>
      </c>
    </row>
    <row r="30" spans="1:19" ht="18" customHeight="1" thickBot="1" thickTop="1">
      <c r="A30" s="20">
        <v>24</v>
      </c>
      <c r="B30" s="88" t="s">
        <v>186</v>
      </c>
      <c r="C30" s="20">
        <v>3281.58</v>
      </c>
      <c r="D30" s="20">
        <v>200.15</v>
      </c>
      <c r="E30" s="59">
        <f t="shared" si="0"/>
        <v>6.099196118942705</v>
      </c>
      <c r="F30" s="137">
        <v>48</v>
      </c>
      <c r="G30" s="20">
        <v>384.41</v>
      </c>
      <c r="H30" s="20">
        <v>200.15</v>
      </c>
      <c r="I30" s="59">
        <f t="shared" si="1"/>
        <v>52.066803673161466</v>
      </c>
      <c r="J30" s="137">
        <v>38</v>
      </c>
      <c r="K30" s="20">
        <v>301.55</v>
      </c>
      <c r="L30" s="20">
        <v>320.84</v>
      </c>
      <c r="M30" s="59">
        <f t="shared" si="2"/>
        <v>19.289999999999964</v>
      </c>
      <c r="N30" s="59">
        <f t="shared" si="3"/>
        <v>6.396949096335587</v>
      </c>
      <c r="O30" s="137">
        <v>34</v>
      </c>
      <c r="Q30" s="117" t="s">
        <v>233</v>
      </c>
      <c r="R30" s="134">
        <f>'[2]Taluk RR Rank'!E68+'[2]Taluk RR Rank'!I68+'[2]Taluk RR Rank'!N68</f>
        <v>137.15814989780813</v>
      </c>
      <c r="S30" s="135" t="s">
        <v>303</v>
      </c>
    </row>
    <row r="31" spans="1:19" ht="18" customHeight="1" thickBot="1" thickTop="1">
      <c r="A31" s="20">
        <v>25</v>
      </c>
      <c r="B31" s="88" t="s">
        <v>187</v>
      </c>
      <c r="C31" s="20">
        <v>838.19</v>
      </c>
      <c r="D31" s="20">
        <v>131.44</v>
      </c>
      <c r="E31" s="59">
        <f t="shared" si="0"/>
        <v>15.681408749806128</v>
      </c>
      <c r="F31" s="137">
        <v>24</v>
      </c>
      <c r="G31" s="20">
        <v>218.51</v>
      </c>
      <c r="H31" s="20">
        <v>131.44</v>
      </c>
      <c r="I31" s="59">
        <f t="shared" si="1"/>
        <v>60.152853416319616</v>
      </c>
      <c r="J31" s="137">
        <v>33</v>
      </c>
      <c r="K31" s="20">
        <v>209.4</v>
      </c>
      <c r="L31" s="20">
        <v>195.3</v>
      </c>
      <c r="M31" s="59">
        <f t="shared" si="2"/>
        <v>-14.099999999999994</v>
      </c>
      <c r="N31" s="59">
        <f t="shared" si="3"/>
        <v>-6.733524355300857</v>
      </c>
      <c r="O31" s="137">
        <v>45</v>
      </c>
      <c r="Q31" s="117" t="s">
        <v>222</v>
      </c>
      <c r="R31" s="134">
        <f>'[2]Taluk RR Rank'!E60+'[2]Taluk RR Rank'!I60+'[2]Taluk RR Rank'!N60</f>
        <v>133.3742038090657</v>
      </c>
      <c r="S31" s="135" t="s">
        <v>304</v>
      </c>
    </row>
    <row r="32" spans="1:19" ht="18" customHeight="1" thickBot="1" thickTop="1">
      <c r="A32" s="20">
        <v>26</v>
      </c>
      <c r="B32" s="88" t="s">
        <v>189</v>
      </c>
      <c r="C32" s="20">
        <v>1395.9</v>
      </c>
      <c r="D32" s="20">
        <v>138.79</v>
      </c>
      <c r="E32" s="59">
        <f t="shared" si="0"/>
        <v>9.94268930439143</v>
      </c>
      <c r="F32" s="137">
        <v>36</v>
      </c>
      <c r="G32" s="20">
        <v>223.66</v>
      </c>
      <c r="H32" s="20">
        <v>138.79</v>
      </c>
      <c r="I32" s="59">
        <f t="shared" si="1"/>
        <v>62.0540105517303</v>
      </c>
      <c r="J32" s="137">
        <v>30</v>
      </c>
      <c r="K32" s="20">
        <v>145.12</v>
      </c>
      <c r="L32" s="20">
        <v>161.6</v>
      </c>
      <c r="M32" s="59">
        <f t="shared" si="2"/>
        <v>16.47999999999999</v>
      </c>
      <c r="N32" s="59">
        <f t="shared" si="3"/>
        <v>11.356119073869893</v>
      </c>
      <c r="O32" s="137">
        <v>32</v>
      </c>
      <c r="Q32" s="117" t="s">
        <v>205</v>
      </c>
      <c r="R32" s="134">
        <f>'[2]Taluk RR Rank'!E46+'[2]Taluk RR Rank'!I46+'[2]Taluk RR Rank'!N46</f>
        <v>130.15373145975212</v>
      </c>
      <c r="S32" s="135" t="s">
        <v>305</v>
      </c>
    </row>
    <row r="33" spans="1:19" ht="18" customHeight="1" thickBot="1" thickTop="1">
      <c r="A33" s="20">
        <v>27</v>
      </c>
      <c r="B33" s="88" t="s">
        <v>190</v>
      </c>
      <c r="C33" s="20">
        <v>517.3</v>
      </c>
      <c r="D33" s="20">
        <v>137.54</v>
      </c>
      <c r="E33" s="59">
        <f t="shared" si="0"/>
        <v>26.588053353953217</v>
      </c>
      <c r="F33" s="137">
        <v>14</v>
      </c>
      <c r="G33" s="20">
        <v>168.52</v>
      </c>
      <c r="H33" s="20">
        <v>137.54</v>
      </c>
      <c r="I33" s="59">
        <f t="shared" si="1"/>
        <v>81.61642535010681</v>
      </c>
      <c r="J33" s="137">
        <v>21</v>
      </c>
      <c r="K33" s="20">
        <v>39.76</v>
      </c>
      <c r="L33" s="20">
        <v>164.34</v>
      </c>
      <c r="M33" s="59">
        <f t="shared" si="2"/>
        <v>124.58000000000001</v>
      </c>
      <c r="N33" s="59">
        <f t="shared" si="3"/>
        <v>313.3299798792757</v>
      </c>
      <c r="O33" s="137">
        <v>2</v>
      </c>
      <c r="Q33" s="117" t="s">
        <v>168</v>
      </c>
      <c r="R33" s="134">
        <f>'[2]Taluk RR Rank'!E15+'[2]Taluk RR Rank'!I15+'[2]Taluk RR Rank'!N15</f>
        <v>128.96476725871003</v>
      </c>
      <c r="S33" s="135" t="s">
        <v>306</v>
      </c>
    </row>
    <row r="34" spans="1:19" ht="18" customHeight="1" thickBot="1" thickTop="1">
      <c r="A34" s="20">
        <v>28</v>
      </c>
      <c r="B34" s="88" t="s">
        <v>191</v>
      </c>
      <c r="C34" s="20">
        <v>343.69</v>
      </c>
      <c r="D34" s="20">
        <v>99.1</v>
      </c>
      <c r="E34" s="59">
        <f t="shared" si="0"/>
        <v>28.834123774331516</v>
      </c>
      <c r="F34" s="137">
        <v>11</v>
      </c>
      <c r="G34" s="20">
        <v>63.78</v>
      </c>
      <c r="H34" s="20">
        <v>99.1</v>
      </c>
      <c r="I34" s="59">
        <f t="shared" si="1"/>
        <v>155.37786139855754</v>
      </c>
      <c r="J34" s="137">
        <v>10</v>
      </c>
      <c r="K34" s="20">
        <v>30.67</v>
      </c>
      <c r="L34" s="20">
        <v>26.84</v>
      </c>
      <c r="M34" s="59">
        <f t="shared" si="2"/>
        <v>-3.830000000000002</v>
      </c>
      <c r="N34" s="59">
        <f t="shared" si="3"/>
        <v>-12.487773068144772</v>
      </c>
      <c r="O34" s="137">
        <v>47</v>
      </c>
      <c r="Q34" s="117" t="s">
        <v>231</v>
      </c>
      <c r="R34" s="134">
        <f>'[2]Taluk RR Rank'!E67+'[2]Taluk RR Rank'!I67+'[2]Taluk RR Rank'!N67</f>
        <v>127.39167172257416</v>
      </c>
      <c r="S34" s="135" t="s">
        <v>307</v>
      </c>
    </row>
    <row r="35" spans="1:19" ht="18" customHeight="1" thickBot="1" thickTop="1">
      <c r="A35" s="20">
        <v>29</v>
      </c>
      <c r="B35" s="88" t="s">
        <v>192</v>
      </c>
      <c r="C35" s="20">
        <v>3687.89</v>
      </c>
      <c r="D35" s="20">
        <v>112.76</v>
      </c>
      <c r="E35" s="59">
        <f t="shared" si="0"/>
        <v>3.0575749276686675</v>
      </c>
      <c r="F35" s="137">
        <v>59</v>
      </c>
      <c r="G35" s="20">
        <v>145.19</v>
      </c>
      <c r="H35" s="20">
        <v>112.76</v>
      </c>
      <c r="I35" s="59">
        <f t="shared" si="1"/>
        <v>77.66375094703493</v>
      </c>
      <c r="J35" s="137">
        <v>25</v>
      </c>
      <c r="K35" s="20">
        <v>122.12</v>
      </c>
      <c r="L35" s="20">
        <v>128.58</v>
      </c>
      <c r="M35" s="59">
        <f t="shared" si="2"/>
        <v>6.460000000000008</v>
      </c>
      <c r="N35" s="59">
        <f t="shared" si="3"/>
        <v>5.2898788077301075</v>
      </c>
      <c r="O35" s="137">
        <v>35</v>
      </c>
      <c r="Q35" s="117" t="s">
        <v>308</v>
      </c>
      <c r="R35" s="134">
        <f>'[2]Taluk RR Rank'!E49+'[2]Taluk RR Rank'!I49+'[2]Taluk RR Rank'!N49</f>
        <v>114.17398768240253</v>
      </c>
      <c r="S35" s="135" t="s">
        <v>309</v>
      </c>
    </row>
    <row r="36" spans="1:19" ht="18" customHeight="1" thickBot="1" thickTop="1">
      <c r="A36" s="20">
        <v>30</v>
      </c>
      <c r="B36" s="88" t="s">
        <v>194</v>
      </c>
      <c r="C36" s="20">
        <v>608.06</v>
      </c>
      <c r="D36" s="20">
        <v>108.63</v>
      </c>
      <c r="E36" s="59">
        <f t="shared" si="0"/>
        <v>17.865013321053844</v>
      </c>
      <c r="F36" s="137">
        <v>22</v>
      </c>
      <c r="G36" s="20">
        <v>201.54</v>
      </c>
      <c r="H36" s="20">
        <v>108.63</v>
      </c>
      <c r="I36" s="59">
        <f t="shared" si="1"/>
        <v>53.899970229234896</v>
      </c>
      <c r="J36" s="137">
        <v>36</v>
      </c>
      <c r="K36" s="20">
        <v>134.29</v>
      </c>
      <c r="L36" s="20">
        <v>108.11</v>
      </c>
      <c r="M36" s="59">
        <f t="shared" si="2"/>
        <v>-26.179999999999993</v>
      </c>
      <c r="N36" s="59">
        <f t="shared" si="3"/>
        <v>-19.49512249609055</v>
      </c>
      <c r="O36" s="137">
        <v>53</v>
      </c>
      <c r="Q36" s="117" t="s">
        <v>172</v>
      </c>
      <c r="R36" s="134">
        <f>'[2]Taluk RR Rank'!E18+'[2]Taluk RR Rank'!I18+'[2]Taluk RR Rank'!N18</f>
        <v>108.45984339874117</v>
      </c>
      <c r="S36" s="135" t="s">
        <v>310</v>
      </c>
    </row>
    <row r="37" spans="1:19" ht="18" customHeight="1" thickBot="1" thickTop="1">
      <c r="A37" s="20">
        <v>31</v>
      </c>
      <c r="B37" s="88" t="s">
        <v>195</v>
      </c>
      <c r="C37" s="20">
        <v>4353.34</v>
      </c>
      <c r="D37" s="20">
        <v>240.6</v>
      </c>
      <c r="E37" s="59">
        <f t="shared" si="0"/>
        <v>5.526790923750499</v>
      </c>
      <c r="F37" s="137">
        <v>49</v>
      </c>
      <c r="G37" s="20">
        <v>821.34</v>
      </c>
      <c r="H37" s="20">
        <v>240.6</v>
      </c>
      <c r="I37" s="59">
        <f t="shared" si="1"/>
        <v>29.293593396157497</v>
      </c>
      <c r="J37" s="137">
        <v>55</v>
      </c>
      <c r="K37" s="20">
        <v>469.84</v>
      </c>
      <c r="L37" s="20">
        <v>182.53</v>
      </c>
      <c r="M37" s="59">
        <f t="shared" si="2"/>
        <v>-287.30999999999995</v>
      </c>
      <c r="N37" s="59">
        <f t="shared" si="3"/>
        <v>-61.150604461093124</v>
      </c>
      <c r="O37" s="137">
        <v>63</v>
      </c>
      <c r="Q37" s="117" t="s">
        <v>184</v>
      </c>
      <c r="R37" s="134">
        <f>'[2]Taluk RR Rank'!E28+'[2]Taluk RR Rank'!I28+'[2]Taluk RR Rank'!N28</f>
        <v>108.39499176908481</v>
      </c>
      <c r="S37" s="135" t="s">
        <v>311</v>
      </c>
    </row>
    <row r="38" spans="1:19" ht="18" customHeight="1" thickBot="1" thickTop="1">
      <c r="A38" s="20">
        <v>32</v>
      </c>
      <c r="B38" s="88" t="s">
        <v>196</v>
      </c>
      <c r="C38" s="20">
        <v>5031.24</v>
      </c>
      <c r="D38" s="20">
        <v>204.35</v>
      </c>
      <c r="E38" s="59">
        <f t="shared" si="0"/>
        <v>4.061622979623314</v>
      </c>
      <c r="F38" s="137">
        <v>56</v>
      </c>
      <c r="G38" s="20">
        <v>375.90000000000055</v>
      </c>
      <c r="H38" s="20">
        <v>204.35</v>
      </c>
      <c r="I38" s="59">
        <f t="shared" si="1"/>
        <v>54.362862463421045</v>
      </c>
      <c r="J38" s="137">
        <v>35</v>
      </c>
      <c r="K38" s="20">
        <v>394.24</v>
      </c>
      <c r="L38" s="20">
        <v>206.77</v>
      </c>
      <c r="M38" s="59">
        <f t="shared" si="2"/>
        <v>-187.47</v>
      </c>
      <c r="N38" s="59">
        <f t="shared" si="3"/>
        <v>-47.552252435064936</v>
      </c>
      <c r="O38" s="137">
        <v>59</v>
      </c>
      <c r="Q38" s="117" t="s">
        <v>179</v>
      </c>
      <c r="R38" s="134">
        <f>'[2]Taluk RR Rank'!E24+'[2]Taluk RR Rank'!I24+'[2]Taluk RR Rank'!N24</f>
        <v>108.074968356582</v>
      </c>
      <c r="S38" s="135" t="s">
        <v>312</v>
      </c>
    </row>
    <row r="39" spans="1:19" ht="18" customHeight="1" thickBot="1" thickTop="1">
      <c r="A39" s="20">
        <v>33</v>
      </c>
      <c r="B39" s="88" t="s">
        <v>197</v>
      </c>
      <c r="C39" s="20">
        <v>8088.39</v>
      </c>
      <c r="D39" s="20">
        <v>271.18</v>
      </c>
      <c r="E39" s="59">
        <f t="shared" si="0"/>
        <v>3.3527067809539353</v>
      </c>
      <c r="F39" s="137">
        <v>58</v>
      </c>
      <c r="G39" s="20">
        <v>633.8000000000011</v>
      </c>
      <c r="H39" s="20">
        <v>271.18</v>
      </c>
      <c r="I39" s="59">
        <f t="shared" si="1"/>
        <v>42.78636793941299</v>
      </c>
      <c r="J39" s="137">
        <v>44</v>
      </c>
      <c r="K39" s="20">
        <v>792.93</v>
      </c>
      <c r="L39" s="20">
        <v>388.97</v>
      </c>
      <c r="M39" s="59">
        <f t="shared" si="2"/>
        <v>-403.9599999999999</v>
      </c>
      <c r="N39" s="59">
        <f t="shared" si="3"/>
        <v>-50.94522845648417</v>
      </c>
      <c r="O39" s="137">
        <v>61</v>
      </c>
      <c r="Q39" s="117" t="s">
        <v>174</v>
      </c>
      <c r="R39" s="134">
        <f>'[2]Taluk RR Rank'!E20+'[2]Taluk RR Rank'!I20+'[2]Taluk RR Rank'!N20</f>
        <v>99.2689445360734</v>
      </c>
      <c r="S39" s="135" t="s">
        <v>313</v>
      </c>
    </row>
    <row r="40" spans="1:19" ht="18" customHeight="1" thickBot="1" thickTop="1">
      <c r="A40" s="20">
        <v>34</v>
      </c>
      <c r="B40" s="88" t="s">
        <v>198</v>
      </c>
      <c r="C40" s="20">
        <v>32314.38</v>
      </c>
      <c r="D40" s="20">
        <v>977.83</v>
      </c>
      <c r="E40" s="59">
        <f t="shared" si="0"/>
        <v>3.0259902866773247</v>
      </c>
      <c r="F40" s="137">
        <v>60</v>
      </c>
      <c r="G40" s="20">
        <v>4628.74</v>
      </c>
      <c r="H40" s="20">
        <v>977.83</v>
      </c>
      <c r="I40" s="59">
        <f t="shared" si="1"/>
        <v>21.125187416013862</v>
      </c>
      <c r="J40" s="137">
        <v>62</v>
      </c>
      <c r="K40" s="20">
        <v>3551.3</v>
      </c>
      <c r="L40" s="20">
        <v>2929.12</v>
      </c>
      <c r="M40" s="59">
        <f t="shared" si="2"/>
        <v>-622.1800000000003</v>
      </c>
      <c r="N40" s="59">
        <f t="shared" si="3"/>
        <v>-17.519781488469018</v>
      </c>
      <c r="O40" s="137">
        <v>51</v>
      </c>
      <c r="Q40" s="117" t="s">
        <v>165</v>
      </c>
      <c r="R40" s="134">
        <f>'[2]Taluk RR Rank'!E12+'[2]Taluk RR Rank'!I12+'[2]Taluk RR Rank'!N12</f>
        <v>99.2501816456216</v>
      </c>
      <c r="S40" s="135" t="s">
        <v>314</v>
      </c>
    </row>
    <row r="41" spans="1:19" ht="18" customHeight="1" thickBot="1" thickTop="1">
      <c r="A41" s="20">
        <v>35</v>
      </c>
      <c r="B41" s="88" t="s">
        <v>199</v>
      </c>
      <c r="C41" s="20">
        <v>5834.4</v>
      </c>
      <c r="D41" s="20">
        <v>469.46</v>
      </c>
      <c r="E41" s="59">
        <f t="shared" si="0"/>
        <v>8.046414369943781</v>
      </c>
      <c r="F41" s="137">
        <v>44</v>
      </c>
      <c r="G41" s="20">
        <v>1562.59</v>
      </c>
      <c r="H41" s="20">
        <v>469.46</v>
      </c>
      <c r="I41" s="59">
        <f t="shared" si="1"/>
        <v>30.04370948233382</v>
      </c>
      <c r="J41" s="137">
        <v>54</v>
      </c>
      <c r="K41" s="20">
        <v>841.2</v>
      </c>
      <c r="L41" s="20">
        <v>728.58</v>
      </c>
      <c r="M41" s="59">
        <f t="shared" si="2"/>
        <v>-112.62</v>
      </c>
      <c r="N41" s="59">
        <f t="shared" si="3"/>
        <v>-13.388017118402281</v>
      </c>
      <c r="O41" s="137">
        <v>49</v>
      </c>
      <c r="Q41" s="117" t="s">
        <v>221</v>
      </c>
      <c r="R41" s="134">
        <f>'[2]Taluk RR Rank'!E59+'[2]Taluk RR Rank'!I59+'[2]Taluk RR Rank'!N59</f>
        <v>86.79223726020255</v>
      </c>
      <c r="S41" s="135" t="s">
        <v>315</v>
      </c>
    </row>
    <row r="42" spans="1:19" ht="18" customHeight="1" thickBot="1" thickTop="1">
      <c r="A42" s="20">
        <v>36</v>
      </c>
      <c r="B42" s="88" t="s">
        <v>200</v>
      </c>
      <c r="C42" s="20">
        <v>1424.1</v>
      </c>
      <c r="D42" s="20">
        <v>125.37</v>
      </c>
      <c r="E42" s="59">
        <f t="shared" si="0"/>
        <v>8.803454813566464</v>
      </c>
      <c r="F42" s="79">
        <v>43</v>
      </c>
      <c r="G42" s="59">
        <v>248.48</v>
      </c>
      <c r="H42" s="20">
        <v>125.37</v>
      </c>
      <c r="I42" s="59">
        <f t="shared" si="1"/>
        <v>50.45476497102383</v>
      </c>
      <c r="J42" s="137">
        <v>41</v>
      </c>
      <c r="K42" s="20">
        <v>336.83</v>
      </c>
      <c r="L42" s="20">
        <v>173.09</v>
      </c>
      <c r="M42" s="59">
        <f t="shared" si="2"/>
        <v>-163.73999999999998</v>
      </c>
      <c r="N42" s="59">
        <f t="shared" si="3"/>
        <v>-48.61205949588813</v>
      </c>
      <c r="O42" s="137">
        <v>60</v>
      </c>
      <c r="Q42" s="117" t="s">
        <v>192</v>
      </c>
      <c r="R42" s="134">
        <f>'[2]Taluk RR Rank'!E35+'[2]Taluk RR Rank'!I35+'[2]Taluk RR Rank'!N35</f>
        <v>86.0112046824337</v>
      </c>
      <c r="S42" s="135" t="s">
        <v>316</v>
      </c>
    </row>
    <row r="43" spans="1:19" ht="18" customHeight="1" thickBot="1" thickTop="1">
      <c r="A43" s="20">
        <v>37</v>
      </c>
      <c r="B43" s="88" t="s">
        <v>317</v>
      </c>
      <c r="C43" s="20">
        <v>2642</v>
      </c>
      <c r="D43" s="20">
        <v>114.2</v>
      </c>
      <c r="E43" s="59">
        <f t="shared" si="0"/>
        <v>4.322482967448902</v>
      </c>
      <c r="F43" s="85">
        <v>54</v>
      </c>
      <c r="G43" s="59">
        <v>172.51</v>
      </c>
      <c r="H43" s="20">
        <v>114.2</v>
      </c>
      <c r="I43" s="59">
        <f t="shared" si="1"/>
        <v>66.19906092400441</v>
      </c>
      <c r="J43" s="137">
        <v>29</v>
      </c>
      <c r="K43" s="20">
        <v>227.73</v>
      </c>
      <c r="L43" s="20">
        <v>156.08</v>
      </c>
      <c r="M43" s="59">
        <f t="shared" si="2"/>
        <v>-71.64999999999998</v>
      </c>
      <c r="N43" s="59">
        <f t="shared" si="3"/>
        <v>-31.462697053528295</v>
      </c>
      <c r="O43" s="137">
        <v>55</v>
      </c>
      <c r="Q43" s="117" t="s">
        <v>189</v>
      </c>
      <c r="R43" s="134">
        <f>'[2]Taluk RR Rank'!E32+'[2]Taluk RR Rank'!I32+'[2]Taluk RR Rank'!N32</f>
        <v>83.35281892999163</v>
      </c>
      <c r="S43" s="135" t="s">
        <v>318</v>
      </c>
    </row>
    <row r="44" spans="1:19" ht="18" customHeight="1" thickBot="1" thickTop="1">
      <c r="A44" s="20">
        <v>38</v>
      </c>
      <c r="B44" s="88" t="s">
        <v>203</v>
      </c>
      <c r="C44" s="20">
        <v>2961.7</v>
      </c>
      <c r="D44" s="20">
        <v>395.49</v>
      </c>
      <c r="E44" s="59">
        <f t="shared" si="0"/>
        <v>13.353479420603035</v>
      </c>
      <c r="F44" s="85">
        <v>28</v>
      </c>
      <c r="G44" s="59">
        <v>1038.76</v>
      </c>
      <c r="H44" s="20">
        <v>395.49</v>
      </c>
      <c r="I44" s="59">
        <f t="shared" si="1"/>
        <v>38.073279679618004</v>
      </c>
      <c r="J44" s="137">
        <v>48</v>
      </c>
      <c r="K44" s="20">
        <v>250.08</v>
      </c>
      <c r="L44" s="20">
        <v>647.11</v>
      </c>
      <c r="M44" s="59">
        <f t="shared" si="2"/>
        <v>397.03</v>
      </c>
      <c r="N44" s="59">
        <f t="shared" si="3"/>
        <v>158.7611964171465</v>
      </c>
      <c r="O44" s="137">
        <v>4</v>
      </c>
      <c r="Q44" s="117" t="s">
        <v>210</v>
      </c>
      <c r="R44" s="134">
        <f>'[2]Taluk RR Rank'!E50+'[2]Taluk RR Rank'!I50+'[2]Taluk RR Rank'!N50</f>
        <v>83.28601412363199</v>
      </c>
      <c r="S44" s="135" t="s">
        <v>319</v>
      </c>
    </row>
    <row r="45" spans="1:19" ht="18" customHeight="1" thickBot="1" thickTop="1">
      <c r="A45" s="24">
        <v>39</v>
      </c>
      <c r="B45" s="88" t="s">
        <v>204</v>
      </c>
      <c r="C45" s="20">
        <v>9518.53</v>
      </c>
      <c r="D45" s="20">
        <v>743.71</v>
      </c>
      <c r="E45" s="59">
        <f t="shared" si="0"/>
        <v>7.813286295257776</v>
      </c>
      <c r="F45" s="85">
        <v>45</v>
      </c>
      <c r="G45" s="59">
        <v>1868.69</v>
      </c>
      <c r="H45" s="20">
        <v>743.71</v>
      </c>
      <c r="I45" s="59">
        <f t="shared" si="1"/>
        <v>39.79846844580963</v>
      </c>
      <c r="J45" s="137">
        <v>47</v>
      </c>
      <c r="K45" s="20">
        <v>1029.13</v>
      </c>
      <c r="L45" s="20">
        <v>1072.51</v>
      </c>
      <c r="M45" s="59">
        <f t="shared" si="2"/>
        <v>43.37999999999988</v>
      </c>
      <c r="N45" s="59">
        <f t="shared" si="3"/>
        <v>4.215210906299484</v>
      </c>
      <c r="O45" s="137">
        <v>38</v>
      </c>
      <c r="Q45" s="117" t="s">
        <v>176</v>
      </c>
      <c r="R45" s="134">
        <f>'[2]Taluk RR Rank'!E21+'[2]Taluk RR Rank'!I21+'[2]Taluk RR Rank'!N21</f>
        <v>82.64533654480626</v>
      </c>
      <c r="S45" s="135" t="s">
        <v>320</v>
      </c>
    </row>
    <row r="46" spans="1:19" ht="18" customHeight="1" thickBot="1" thickTop="1">
      <c r="A46" s="20">
        <v>40</v>
      </c>
      <c r="B46" s="88" t="s">
        <v>205</v>
      </c>
      <c r="C46" s="20">
        <v>1695.39</v>
      </c>
      <c r="D46" s="20">
        <v>312.86</v>
      </c>
      <c r="E46" s="59">
        <f t="shared" si="0"/>
        <v>18.453571154719565</v>
      </c>
      <c r="F46" s="85">
        <v>21</v>
      </c>
      <c r="G46" s="59">
        <v>212.06</v>
      </c>
      <c r="H46" s="20">
        <v>312.86</v>
      </c>
      <c r="I46" s="59">
        <f t="shared" si="1"/>
        <v>147.53371687258323</v>
      </c>
      <c r="J46" s="137">
        <v>13</v>
      </c>
      <c r="K46" s="20">
        <v>223.98</v>
      </c>
      <c r="L46" s="20">
        <v>143.72</v>
      </c>
      <c r="M46" s="59">
        <f t="shared" si="2"/>
        <v>-80.25999999999999</v>
      </c>
      <c r="N46" s="59">
        <f t="shared" si="3"/>
        <v>-35.83355656755067</v>
      </c>
      <c r="O46" s="137">
        <v>57</v>
      </c>
      <c r="Q46" s="117" t="s">
        <v>208</v>
      </c>
      <c r="R46" s="134">
        <f>'[2]Taluk RR Rank'!E48+'[2]Taluk RR Rank'!I48+'[2]Taluk RR Rank'!N48</f>
        <v>71.57884468876564</v>
      </c>
      <c r="S46" s="135" t="s">
        <v>321</v>
      </c>
    </row>
    <row r="47" spans="1:19" ht="18" customHeight="1" thickBot="1" thickTop="1">
      <c r="A47" s="20">
        <v>41</v>
      </c>
      <c r="B47" s="88" t="s">
        <v>206</v>
      </c>
      <c r="C47" s="20">
        <v>3493.92</v>
      </c>
      <c r="D47" s="20">
        <v>395.28</v>
      </c>
      <c r="E47" s="59">
        <f t="shared" si="0"/>
        <v>11.313367220772083</v>
      </c>
      <c r="F47" s="85">
        <v>32</v>
      </c>
      <c r="G47" s="59">
        <v>2067.87</v>
      </c>
      <c r="H47" s="20">
        <v>395.28</v>
      </c>
      <c r="I47" s="59">
        <f t="shared" si="1"/>
        <v>19.115321562767484</v>
      </c>
      <c r="J47" s="137">
        <v>63</v>
      </c>
      <c r="K47" s="20">
        <v>171.45</v>
      </c>
      <c r="L47" s="20">
        <v>1847.64</v>
      </c>
      <c r="M47" s="59">
        <f t="shared" si="2"/>
        <v>1676.19</v>
      </c>
      <c r="N47" s="59">
        <f t="shared" si="3"/>
        <v>977.6552930883641</v>
      </c>
      <c r="O47" s="137">
        <v>1</v>
      </c>
      <c r="Q47" s="117" t="s">
        <v>187</v>
      </c>
      <c r="R47" s="134">
        <f>'[2]Taluk RR Rank'!E31+'[2]Taluk RR Rank'!I31+'[2]Taluk RR Rank'!N31</f>
        <v>69.10073781082488</v>
      </c>
      <c r="S47" s="135" t="s">
        <v>322</v>
      </c>
    </row>
    <row r="48" spans="1:19" ht="18" customHeight="1" thickBot="1" thickTop="1">
      <c r="A48" s="20">
        <v>42</v>
      </c>
      <c r="B48" s="88" t="s">
        <v>208</v>
      </c>
      <c r="C48" s="20">
        <v>3490.23</v>
      </c>
      <c r="D48" s="20">
        <v>176.28</v>
      </c>
      <c r="E48" s="59">
        <f t="shared" si="0"/>
        <v>5.050670013150996</v>
      </c>
      <c r="F48" s="85">
        <v>52</v>
      </c>
      <c r="G48" s="59">
        <v>483.31</v>
      </c>
      <c r="H48" s="20">
        <v>176.28</v>
      </c>
      <c r="I48" s="59">
        <f t="shared" si="1"/>
        <v>36.47348492685854</v>
      </c>
      <c r="J48" s="137">
        <v>50</v>
      </c>
      <c r="K48" s="20">
        <v>243.19</v>
      </c>
      <c r="L48" s="20">
        <v>316.28</v>
      </c>
      <c r="M48" s="59">
        <f t="shared" si="2"/>
        <v>73.08999999999997</v>
      </c>
      <c r="N48" s="59">
        <f t="shared" si="3"/>
        <v>30.054689748756108</v>
      </c>
      <c r="O48" s="137">
        <v>21</v>
      </c>
      <c r="Q48" s="117" t="s">
        <v>162</v>
      </c>
      <c r="R48" s="134">
        <f>'[2]Taluk RR Rank'!E10+'[2]Taluk RR Rank'!I10+'[2]Taluk RR Rank'!N10</f>
        <v>67.78127958147047</v>
      </c>
      <c r="S48" s="135" t="s">
        <v>323</v>
      </c>
    </row>
    <row r="49" spans="1:19" ht="18" customHeight="1" thickBot="1" thickTop="1">
      <c r="A49" s="20">
        <v>43</v>
      </c>
      <c r="B49" s="88" t="s">
        <v>308</v>
      </c>
      <c r="C49" s="20">
        <v>1241.26</v>
      </c>
      <c r="D49" s="20">
        <v>112.77</v>
      </c>
      <c r="E49" s="59">
        <f t="shared" si="0"/>
        <v>9.085123181283535</v>
      </c>
      <c r="F49" s="85">
        <v>39</v>
      </c>
      <c r="G49" s="59">
        <v>222.66</v>
      </c>
      <c r="H49" s="20">
        <v>112.77</v>
      </c>
      <c r="I49" s="59">
        <f t="shared" si="1"/>
        <v>50.646725949878736</v>
      </c>
      <c r="J49" s="137">
        <v>40</v>
      </c>
      <c r="K49" s="20">
        <v>101.19</v>
      </c>
      <c r="L49" s="20">
        <v>156.28</v>
      </c>
      <c r="M49" s="59">
        <f t="shared" si="2"/>
        <v>55.09</v>
      </c>
      <c r="N49" s="59">
        <f t="shared" si="3"/>
        <v>54.44213855124025</v>
      </c>
      <c r="O49" s="137">
        <v>10</v>
      </c>
      <c r="Q49" s="117" t="s">
        <v>186</v>
      </c>
      <c r="R49" s="134">
        <f>'[2]Taluk RR Rank'!E30+'[2]Taluk RR Rank'!I30+'[2]Taluk RR Rank'!N30</f>
        <v>64.56294888843976</v>
      </c>
      <c r="S49" s="135" t="s">
        <v>324</v>
      </c>
    </row>
    <row r="50" spans="1:19" ht="18" customHeight="1" thickBot="1" thickTop="1">
      <c r="A50" s="20">
        <v>44</v>
      </c>
      <c r="B50" s="88" t="s">
        <v>210</v>
      </c>
      <c r="C50" s="20">
        <v>33864.05</v>
      </c>
      <c r="D50" s="20">
        <v>173.67</v>
      </c>
      <c r="E50" s="59">
        <f t="shared" si="0"/>
        <v>0.5128447424333474</v>
      </c>
      <c r="F50" s="85">
        <v>63</v>
      </c>
      <c r="G50" s="59">
        <v>597.9100000000035</v>
      </c>
      <c r="H50" s="20">
        <v>173.67</v>
      </c>
      <c r="I50" s="59">
        <f t="shared" si="1"/>
        <v>29.04617751835543</v>
      </c>
      <c r="J50" s="137">
        <v>56</v>
      </c>
      <c r="K50" s="20">
        <v>229.81</v>
      </c>
      <c r="L50" s="20">
        <v>353.28</v>
      </c>
      <c r="M50" s="59">
        <f t="shared" si="2"/>
        <v>123.46999999999997</v>
      </c>
      <c r="N50" s="59">
        <f t="shared" si="3"/>
        <v>53.72699186284321</v>
      </c>
      <c r="O50" s="137">
        <v>11</v>
      </c>
      <c r="Q50" s="117" t="s">
        <v>167</v>
      </c>
      <c r="R50" s="134">
        <f>'[2]Taluk RR Rank'!E14+'[2]Taluk RR Rank'!I14+'[2]Taluk RR Rank'!N14</f>
        <v>62.52496429649589</v>
      </c>
      <c r="S50" s="135" t="s">
        <v>325</v>
      </c>
    </row>
    <row r="51" spans="1:19" ht="18" customHeight="1" thickBot="1" thickTop="1">
      <c r="A51" s="20">
        <v>45</v>
      </c>
      <c r="B51" s="88" t="s">
        <v>211</v>
      </c>
      <c r="C51" s="20">
        <v>1577.39</v>
      </c>
      <c r="D51" s="20">
        <v>295.75</v>
      </c>
      <c r="E51" s="59">
        <f t="shared" si="0"/>
        <v>18.7493264189579</v>
      </c>
      <c r="F51" s="85">
        <v>20</v>
      </c>
      <c r="G51" s="59">
        <v>381.15</v>
      </c>
      <c r="H51" s="20">
        <v>295.75</v>
      </c>
      <c r="I51" s="59">
        <f t="shared" si="1"/>
        <v>77.59412304866851</v>
      </c>
      <c r="J51" s="137">
        <v>26</v>
      </c>
      <c r="K51" s="20">
        <v>176.86</v>
      </c>
      <c r="L51" s="20">
        <v>290.44</v>
      </c>
      <c r="M51" s="59">
        <f t="shared" si="2"/>
        <v>113.57999999999998</v>
      </c>
      <c r="N51" s="59">
        <f t="shared" si="3"/>
        <v>64.22028723283952</v>
      </c>
      <c r="O51" s="137">
        <v>9</v>
      </c>
      <c r="Q51" s="117" t="s">
        <v>160</v>
      </c>
      <c r="R51" s="134">
        <f>'[2]Taluk RR Rank'!E8+'[2]Taluk RR Rank'!I8+'[2]Taluk RR Rank'!N8</f>
        <v>59.615527892153466</v>
      </c>
      <c r="S51" s="135" t="s">
        <v>326</v>
      </c>
    </row>
    <row r="52" spans="1:19" ht="18" customHeight="1" thickBot="1" thickTop="1">
      <c r="A52" s="20">
        <v>46</v>
      </c>
      <c r="B52" s="88" t="s">
        <v>212</v>
      </c>
      <c r="C52" s="20">
        <v>360.45</v>
      </c>
      <c r="D52" s="20">
        <v>110.89</v>
      </c>
      <c r="E52" s="59">
        <f t="shared" si="0"/>
        <v>30.764322374809268</v>
      </c>
      <c r="F52" s="85">
        <v>9</v>
      </c>
      <c r="G52" s="59">
        <v>107.71</v>
      </c>
      <c r="H52" s="20">
        <v>110.89</v>
      </c>
      <c r="I52" s="59">
        <f t="shared" si="1"/>
        <v>102.95237211029618</v>
      </c>
      <c r="J52" s="137">
        <v>16</v>
      </c>
      <c r="K52" s="20">
        <v>54.75</v>
      </c>
      <c r="L52" s="20">
        <v>67.96</v>
      </c>
      <c r="M52" s="59">
        <f t="shared" si="2"/>
        <v>13.209999999999994</v>
      </c>
      <c r="N52" s="59">
        <f t="shared" si="3"/>
        <v>24.127853881278526</v>
      </c>
      <c r="O52" s="137">
        <v>23</v>
      </c>
      <c r="Q52" s="117" t="s">
        <v>181</v>
      </c>
      <c r="R52" s="134">
        <f>'[2]Taluk RR Rank'!E26+'[2]Taluk RR Rank'!I26+'[2]Taluk RR Rank'!N26</f>
        <v>57.39995514052855</v>
      </c>
      <c r="S52" s="135" t="s">
        <v>327</v>
      </c>
    </row>
    <row r="53" spans="1:19" ht="18" customHeight="1" thickBot="1" thickTop="1">
      <c r="A53" s="20">
        <v>47</v>
      </c>
      <c r="B53" s="88" t="s">
        <v>214</v>
      </c>
      <c r="C53" s="20">
        <v>716.16</v>
      </c>
      <c r="D53" s="20">
        <v>230.44</v>
      </c>
      <c r="E53" s="59">
        <f t="shared" si="0"/>
        <v>32.17716711349419</v>
      </c>
      <c r="F53" s="85">
        <v>8</v>
      </c>
      <c r="G53" s="59">
        <v>80.64</v>
      </c>
      <c r="H53" s="20">
        <v>230.44</v>
      </c>
      <c r="I53" s="59">
        <f t="shared" si="1"/>
        <v>285.76388888888886</v>
      </c>
      <c r="J53" s="137">
        <v>6</v>
      </c>
      <c r="K53" s="20">
        <v>65.48</v>
      </c>
      <c r="L53" s="20">
        <v>77.24</v>
      </c>
      <c r="M53" s="59">
        <f t="shared" si="2"/>
        <v>11.759999999999991</v>
      </c>
      <c r="N53" s="59">
        <f t="shared" si="3"/>
        <v>17.959682345754413</v>
      </c>
      <c r="O53" s="137">
        <v>27</v>
      </c>
      <c r="Q53" s="117" t="s">
        <v>159</v>
      </c>
      <c r="R53" s="134">
        <f>'[2]Taluk RR Rank'!E7+'[2]Taluk RR Rank'!I7+'[2]Taluk RR Rank'!N7</f>
        <v>52.382192705124424</v>
      </c>
      <c r="S53" s="135" t="s">
        <v>328</v>
      </c>
    </row>
    <row r="54" spans="1:19" ht="18" customHeight="1" thickBot="1" thickTop="1">
      <c r="A54" s="20">
        <v>48</v>
      </c>
      <c r="B54" s="88" t="s">
        <v>215</v>
      </c>
      <c r="C54" s="20">
        <v>746.34</v>
      </c>
      <c r="D54" s="20">
        <v>424.45</v>
      </c>
      <c r="E54" s="59">
        <f t="shared" si="0"/>
        <v>56.870863145483284</v>
      </c>
      <c r="F54" s="85">
        <v>5</v>
      </c>
      <c r="G54" s="59">
        <v>81.42</v>
      </c>
      <c r="H54" s="20">
        <v>424.45</v>
      </c>
      <c r="I54" s="59">
        <f t="shared" si="1"/>
        <v>521.3092606239253</v>
      </c>
      <c r="J54" s="137">
        <v>2</v>
      </c>
      <c r="K54" s="20">
        <v>52.92</v>
      </c>
      <c r="L54" s="20">
        <v>79.07</v>
      </c>
      <c r="M54" s="59">
        <f t="shared" si="2"/>
        <v>26.14999999999999</v>
      </c>
      <c r="N54" s="59">
        <f t="shared" si="3"/>
        <v>49.414210128495824</v>
      </c>
      <c r="O54" s="137">
        <v>12</v>
      </c>
      <c r="Q54" s="117" t="s">
        <v>194</v>
      </c>
      <c r="R54" s="134">
        <f>'[2]Taluk RR Rank'!E36+'[2]Taluk RR Rank'!I36+'[2]Taluk RR Rank'!N36</f>
        <v>52.2698610541982</v>
      </c>
      <c r="S54" s="135" t="s">
        <v>329</v>
      </c>
    </row>
    <row r="55" spans="1:19" ht="18" customHeight="1" thickBot="1" thickTop="1">
      <c r="A55" s="20">
        <v>49</v>
      </c>
      <c r="B55" s="88" t="s">
        <v>216</v>
      </c>
      <c r="C55" s="20">
        <v>955.39</v>
      </c>
      <c r="D55" s="20">
        <v>292.15</v>
      </c>
      <c r="E55" s="59">
        <f t="shared" si="0"/>
        <v>30.57913522226525</v>
      </c>
      <c r="F55" s="85">
        <v>10</v>
      </c>
      <c r="G55" s="59">
        <v>81.63</v>
      </c>
      <c r="H55" s="20">
        <v>292.15</v>
      </c>
      <c r="I55" s="59">
        <f t="shared" si="1"/>
        <v>357.89538159990195</v>
      </c>
      <c r="J55" s="137">
        <v>3</v>
      </c>
      <c r="K55" s="20">
        <v>76.67</v>
      </c>
      <c r="L55" s="20">
        <v>79.77</v>
      </c>
      <c r="M55" s="59">
        <f t="shared" si="2"/>
        <v>3.0999999999999943</v>
      </c>
      <c r="N55" s="59">
        <f t="shared" si="3"/>
        <v>4.043302465110205</v>
      </c>
      <c r="O55" s="137">
        <v>39</v>
      </c>
      <c r="Q55" s="117" t="s">
        <v>204</v>
      </c>
      <c r="R55" s="134">
        <f>'[2]Taluk RR Rank'!E45+'[2]Taluk RR Rank'!I45+'[2]Taluk RR Rank'!N45</f>
        <v>51.82696564736689</v>
      </c>
      <c r="S55" s="135" t="s">
        <v>330</v>
      </c>
    </row>
    <row r="56" spans="1:19" ht="18" customHeight="1" thickBot="1" thickTop="1">
      <c r="A56" s="20">
        <v>50</v>
      </c>
      <c r="B56" s="88" t="s">
        <v>217</v>
      </c>
      <c r="C56" s="20">
        <v>331.08</v>
      </c>
      <c r="D56" s="20">
        <v>275.97</v>
      </c>
      <c r="E56" s="59">
        <f t="shared" si="0"/>
        <v>83.35447625951433</v>
      </c>
      <c r="F56" s="85">
        <v>2</v>
      </c>
      <c r="G56" s="59">
        <v>79.97000000000006</v>
      </c>
      <c r="H56" s="20">
        <v>275.97</v>
      </c>
      <c r="I56" s="59">
        <f t="shared" si="1"/>
        <v>345.0919094660496</v>
      </c>
      <c r="J56" s="137">
        <v>4</v>
      </c>
      <c r="K56" s="20">
        <v>75.34</v>
      </c>
      <c r="L56" s="20">
        <v>78.8</v>
      </c>
      <c r="M56" s="59">
        <f t="shared" si="2"/>
        <v>3.4599999999999937</v>
      </c>
      <c r="N56" s="59">
        <f t="shared" si="3"/>
        <v>4.592513936819742</v>
      </c>
      <c r="O56" s="137">
        <v>37</v>
      </c>
      <c r="Q56" s="117" t="s">
        <v>185</v>
      </c>
      <c r="R56" s="134">
        <f>'[2]Taluk RR Rank'!E29+'[2]Taluk RR Rank'!I29+'[2]Taluk RR Rank'!N29</f>
        <v>49.790828323826744</v>
      </c>
      <c r="S56" s="135" t="s">
        <v>331</v>
      </c>
    </row>
    <row r="57" spans="1:19" ht="18" customHeight="1" thickBot="1" thickTop="1">
      <c r="A57" s="20">
        <v>51</v>
      </c>
      <c r="B57" s="88" t="s">
        <v>218</v>
      </c>
      <c r="C57" s="20">
        <v>698.31</v>
      </c>
      <c r="D57" s="20">
        <v>724.63</v>
      </c>
      <c r="E57" s="59">
        <f t="shared" si="0"/>
        <v>103.76909968352166</v>
      </c>
      <c r="F57" s="79">
        <v>1</v>
      </c>
      <c r="G57" s="20">
        <v>88.76</v>
      </c>
      <c r="H57" s="20">
        <v>724.63</v>
      </c>
      <c r="I57" s="59">
        <f t="shared" si="1"/>
        <v>816.3925191527716</v>
      </c>
      <c r="J57" s="137">
        <v>1</v>
      </c>
      <c r="K57" s="20">
        <v>98.34</v>
      </c>
      <c r="L57" s="20">
        <v>85.31</v>
      </c>
      <c r="M57" s="59">
        <f t="shared" si="2"/>
        <v>-13.030000000000001</v>
      </c>
      <c r="N57" s="59">
        <f t="shared" si="3"/>
        <v>-13.249949155989423</v>
      </c>
      <c r="O57" s="137">
        <v>48</v>
      </c>
      <c r="Q57" s="117" t="s">
        <v>229</v>
      </c>
      <c r="R57" s="134">
        <f>'[2]Taluk RR Rank'!E65+'[2]Taluk RR Rank'!I65+'[2]Taluk RR Rank'!N65</f>
        <v>46.68606084457079</v>
      </c>
      <c r="S57" s="135" t="s">
        <v>332</v>
      </c>
    </row>
    <row r="58" spans="1:19" ht="18" customHeight="1" thickBot="1" thickTop="1">
      <c r="A58" s="20">
        <v>52</v>
      </c>
      <c r="B58" s="88" t="s">
        <v>219</v>
      </c>
      <c r="C58" s="20">
        <v>699.65</v>
      </c>
      <c r="D58" s="20">
        <v>252.19</v>
      </c>
      <c r="E58" s="59">
        <f t="shared" si="0"/>
        <v>36.04516543986279</v>
      </c>
      <c r="F58" s="79">
        <v>7</v>
      </c>
      <c r="G58" s="20">
        <v>78.26</v>
      </c>
      <c r="H58" s="20">
        <v>252.19</v>
      </c>
      <c r="I58" s="59">
        <f t="shared" si="1"/>
        <v>322.2463582928699</v>
      </c>
      <c r="J58" s="137">
        <v>5</v>
      </c>
      <c r="K58" s="20">
        <v>156.33</v>
      </c>
      <c r="L58" s="20">
        <v>75.62</v>
      </c>
      <c r="M58" s="59">
        <f t="shared" si="2"/>
        <v>-80.71000000000001</v>
      </c>
      <c r="N58" s="59">
        <f t="shared" si="3"/>
        <v>-51.62796648116165</v>
      </c>
      <c r="O58" s="137">
        <v>62</v>
      </c>
      <c r="Q58" s="117" t="s">
        <v>180</v>
      </c>
      <c r="R58" s="134">
        <f>'[2]Taluk RR Rank'!E25+'[2]Taluk RR Rank'!I25+'[2]Taluk RR Rank'!N25</f>
        <v>46.49321845901733</v>
      </c>
      <c r="S58" s="135" t="s">
        <v>333</v>
      </c>
    </row>
    <row r="59" spans="1:19" ht="18" customHeight="1" thickBot="1" thickTop="1">
      <c r="A59" s="20">
        <v>53</v>
      </c>
      <c r="B59" s="88" t="s">
        <v>221</v>
      </c>
      <c r="C59" s="20">
        <v>4438.25</v>
      </c>
      <c r="D59" s="20">
        <v>610.32</v>
      </c>
      <c r="E59" s="59">
        <f t="shared" si="0"/>
        <v>13.751365966315554</v>
      </c>
      <c r="F59" s="79">
        <v>26</v>
      </c>
      <c r="G59" s="20">
        <v>1496.89</v>
      </c>
      <c r="H59" s="20">
        <v>610.32</v>
      </c>
      <c r="I59" s="59">
        <f t="shared" si="1"/>
        <v>40.77253505601614</v>
      </c>
      <c r="J59" s="137">
        <v>45</v>
      </c>
      <c r="K59" s="20">
        <v>929.58</v>
      </c>
      <c r="L59" s="20">
        <v>1229.54</v>
      </c>
      <c r="M59" s="59">
        <f t="shared" si="2"/>
        <v>299.9599999999999</v>
      </c>
      <c r="N59" s="59">
        <f t="shared" si="3"/>
        <v>32.26833623787086</v>
      </c>
      <c r="O59" s="137">
        <v>19</v>
      </c>
      <c r="Q59" s="117" t="s">
        <v>164</v>
      </c>
      <c r="R59" s="134">
        <f>'[2]Taluk RR Rank'!E11+'[2]Taluk RR Rank'!I11+'[2]Taluk RR Rank'!N11</f>
        <v>41.42973378696362</v>
      </c>
      <c r="S59" s="135" t="s">
        <v>334</v>
      </c>
    </row>
    <row r="60" spans="1:19" ht="18" customHeight="1" thickBot="1" thickTop="1">
      <c r="A60" s="20">
        <v>54</v>
      </c>
      <c r="B60" s="88" t="s">
        <v>222</v>
      </c>
      <c r="C60" s="20">
        <v>584.7</v>
      </c>
      <c r="D60" s="20">
        <v>251.04</v>
      </c>
      <c r="E60" s="59">
        <f t="shared" si="0"/>
        <v>42.93483837865571</v>
      </c>
      <c r="F60" s="79">
        <v>6</v>
      </c>
      <c r="G60" s="20">
        <v>281.56</v>
      </c>
      <c r="H60" s="20">
        <v>251.04</v>
      </c>
      <c r="I60" s="59">
        <f t="shared" si="1"/>
        <v>89.16039210115073</v>
      </c>
      <c r="J60" s="137">
        <v>17</v>
      </c>
      <c r="K60" s="20">
        <v>229.09</v>
      </c>
      <c r="L60" s="20">
        <v>232.02</v>
      </c>
      <c r="M60" s="59">
        <f t="shared" si="2"/>
        <v>2.930000000000007</v>
      </c>
      <c r="N60" s="59">
        <f t="shared" si="3"/>
        <v>1.278973329259246</v>
      </c>
      <c r="O60" s="137">
        <v>41</v>
      </c>
      <c r="Q60" s="117" t="s">
        <v>161</v>
      </c>
      <c r="R60" s="134">
        <f>'[2]Taluk RR Rank'!E9+'[2]Taluk RR Rank'!I9+'[2]Taluk RR Rank'!N9</f>
        <v>40.67707399844542</v>
      </c>
      <c r="S60" s="135" t="s">
        <v>335</v>
      </c>
    </row>
    <row r="61" spans="1:19" ht="18" customHeight="1" thickBot="1" thickTop="1">
      <c r="A61" s="20">
        <v>55</v>
      </c>
      <c r="B61" s="88" t="s">
        <v>223</v>
      </c>
      <c r="C61" s="20">
        <v>317.64</v>
      </c>
      <c r="D61" s="20">
        <v>243.46</v>
      </c>
      <c r="E61" s="59">
        <f t="shared" si="0"/>
        <v>76.64651807077195</v>
      </c>
      <c r="F61" s="79">
        <v>3</v>
      </c>
      <c r="G61" s="20">
        <v>114.06</v>
      </c>
      <c r="H61" s="20">
        <v>243.46</v>
      </c>
      <c r="I61" s="59">
        <f t="shared" si="1"/>
        <v>213.44906189724705</v>
      </c>
      <c r="J61" s="137">
        <v>8</v>
      </c>
      <c r="K61" s="20">
        <v>65.01</v>
      </c>
      <c r="L61" s="20">
        <v>87.35</v>
      </c>
      <c r="M61" s="59">
        <f t="shared" si="2"/>
        <v>22.33999999999999</v>
      </c>
      <c r="N61" s="59">
        <f t="shared" si="3"/>
        <v>34.36394400861404</v>
      </c>
      <c r="O61" s="137">
        <v>18</v>
      </c>
      <c r="Q61" s="117" t="s">
        <v>317</v>
      </c>
      <c r="R61" s="134">
        <f>'[2]Taluk RR Rank'!E43+'[2]Taluk RR Rank'!I43+'[2]Taluk RR Rank'!N43</f>
        <v>39.058846837925024</v>
      </c>
      <c r="S61" s="135" t="s">
        <v>336</v>
      </c>
    </row>
    <row r="62" spans="1:19" ht="18" customHeight="1" thickBot="1" thickTop="1">
      <c r="A62" s="20">
        <v>56</v>
      </c>
      <c r="B62" s="88" t="s">
        <v>225</v>
      </c>
      <c r="C62" s="20">
        <v>1426.7</v>
      </c>
      <c r="D62" s="20">
        <v>128.36</v>
      </c>
      <c r="E62" s="59">
        <f t="shared" si="0"/>
        <v>8.996986051727763</v>
      </c>
      <c r="F62" s="79">
        <v>40</v>
      </c>
      <c r="G62" s="20">
        <v>78.61999999999989</v>
      </c>
      <c r="H62" s="20">
        <v>128.36</v>
      </c>
      <c r="I62" s="59">
        <f t="shared" si="1"/>
        <v>163.26634444161817</v>
      </c>
      <c r="J62" s="137">
        <v>9</v>
      </c>
      <c r="K62" s="20">
        <v>76.89</v>
      </c>
      <c r="L62" s="20">
        <v>71.26</v>
      </c>
      <c r="M62" s="59">
        <f t="shared" si="2"/>
        <v>-5.6299999999999955</v>
      </c>
      <c r="N62" s="59">
        <f t="shared" si="3"/>
        <v>-7.3221485238652555</v>
      </c>
      <c r="O62" s="137">
        <v>46</v>
      </c>
      <c r="Q62" s="117" t="s">
        <v>183</v>
      </c>
      <c r="R62" s="134">
        <f>'[2]Taluk RR Rank'!E27+'[2]Taluk RR Rank'!I27+'[2]Taluk RR Rank'!N27</f>
        <v>27.389872765564135</v>
      </c>
      <c r="S62" s="135" t="s">
        <v>337</v>
      </c>
    </row>
    <row r="63" spans="1:19" ht="18" customHeight="1" thickBot="1" thickTop="1">
      <c r="A63" s="20">
        <v>57</v>
      </c>
      <c r="B63" s="88" t="s">
        <v>226</v>
      </c>
      <c r="C63" s="20">
        <v>2052.4</v>
      </c>
      <c r="D63" s="20">
        <v>113.05</v>
      </c>
      <c r="E63" s="59">
        <f t="shared" si="0"/>
        <v>5.5081855388813095</v>
      </c>
      <c r="F63" s="79">
        <v>50</v>
      </c>
      <c r="G63" s="20">
        <v>76.50999999999954</v>
      </c>
      <c r="H63" s="20">
        <v>113.05</v>
      </c>
      <c r="I63" s="59">
        <f t="shared" si="1"/>
        <v>147.758462946021</v>
      </c>
      <c r="J63" s="137">
        <v>12</v>
      </c>
      <c r="K63" s="20">
        <v>69.75</v>
      </c>
      <c r="L63" s="20">
        <v>66.59</v>
      </c>
      <c r="M63" s="59">
        <f t="shared" si="2"/>
        <v>-3.1599999999999966</v>
      </c>
      <c r="N63" s="59">
        <f t="shared" si="3"/>
        <v>-4.530465949820783</v>
      </c>
      <c r="O63" s="137">
        <v>43</v>
      </c>
      <c r="Q63" s="117" t="s">
        <v>199</v>
      </c>
      <c r="R63" s="134">
        <f>'[2]Taluk RR Rank'!E41+'[2]Taluk RR Rank'!I41+'[2]Taluk RR Rank'!N41</f>
        <v>24.70210673387532</v>
      </c>
      <c r="S63" s="135" t="s">
        <v>338</v>
      </c>
    </row>
    <row r="64" spans="1:19" ht="18" customHeight="1" thickBot="1" thickTop="1">
      <c r="A64" s="20">
        <v>58</v>
      </c>
      <c r="B64" s="88" t="s">
        <v>227</v>
      </c>
      <c r="C64" s="20">
        <v>714.01</v>
      </c>
      <c r="D64" s="20">
        <v>103.5</v>
      </c>
      <c r="E64" s="59">
        <f t="shared" si="0"/>
        <v>14.495595299785718</v>
      </c>
      <c r="F64" s="79">
        <v>25</v>
      </c>
      <c r="G64" s="20">
        <v>69.11999999999989</v>
      </c>
      <c r="H64" s="20">
        <v>103.5</v>
      </c>
      <c r="I64" s="59">
        <f t="shared" si="1"/>
        <v>149.73958333333357</v>
      </c>
      <c r="J64" s="137">
        <v>11</v>
      </c>
      <c r="K64" s="20">
        <v>31.45</v>
      </c>
      <c r="L64" s="20">
        <v>59.68</v>
      </c>
      <c r="M64" s="59">
        <f t="shared" si="2"/>
        <v>28.23</v>
      </c>
      <c r="N64" s="59">
        <f t="shared" si="3"/>
        <v>89.76152623211448</v>
      </c>
      <c r="O64" s="137">
        <v>5</v>
      </c>
      <c r="Q64" s="117" t="s">
        <v>166</v>
      </c>
      <c r="R64" s="134">
        <f>'[2]Taluk RR Rank'!E13+'[2]Taluk RR Rank'!I13+'[2]Taluk RR Rank'!N13</f>
        <v>14.22886880056522</v>
      </c>
      <c r="S64" s="135" t="s">
        <v>339</v>
      </c>
    </row>
    <row r="65" spans="1:19" ht="18" customHeight="1" thickBot="1" thickTop="1">
      <c r="A65" s="20">
        <v>59</v>
      </c>
      <c r="B65" s="88" t="s">
        <v>229</v>
      </c>
      <c r="C65" s="20">
        <v>1437.24</v>
      </c>
      <c r="D65" s="20">
        <v>255.35</v>
      </c>
      <c r="E65" s="59">
        <f t="shared" si="0"/>
        <v>17.76669171467535</v>
      </c>
      <c r="F65" s="79">
        <v>23</v>
      </c>
      <c r="G65" s="20">
        <v>371.25</v>
      </c>
      <c r="H65" s="20">
        <v>255.35</v>
      </c>
      <c r="I65" s="59">
        <f t="shared" si="1"/>
        <v>68.78114478114477</v>
      </c>
      <c r="J65" s="137">
        <v>28</v>
      </c>
      <c r="K65" s="20">
        <v>376.2</v>
      </c>
      <c r="L65" s="20">
        <v>226.24</v>
      </c>
      <c r="M65" s="59">
        <f t="shared" si="2"/>
        <v>-149.95999999999998</v>
      </c>
      <c r="N65" s="59">
        <f t="shared" si="3"/>
        <v>-39.86177565124933</v>
      </c>
      <c r="O65" s="137">
        <v>58</v>
      </c>
      <c r="Q65" s="117" t="s">
        <v>196</v>
      </c>
      <c r="R65" s="134">
        <f>'[2]Taluk RR Rank'!E38+'[2]Taluk RR Rank'!I38+'[2]Taluk RR Rank'!N38</f>
        <v>10.872233007979425</v>
      </c>
      <c r="S65" s="135" t="s">
        <v>340</v>
      </c>
    </row>
    <row r="66" spans="1:19" ht="18" customHeight="1" thickBot="1" thickTop="1">
      <c r="A66" s="20">
        <v>60</v>
      </c>
      <c r="B66" s="88" t="s">
        <v>230</v>
      </c>
      <c r="C66" s="20">
        <v>2572.52</v>
      </c>
      <c r="D66" s="20">
        <v>261.72</v>
      </c>
      <c r="E66" s="59">
        <f t="shared" si="0"/>
        <v>10.173681837264628</v>
      </c>
      <c r="F66" s="79">
        <v>35</v>
      </c>
      <c r="G66" s="20">
        <v>514.88</v>
      </c>
      <c r="H66" s="20">
        <v>261.72</v>
      </c>
      <c r="I66" s="59">
        <f t="shared" si="1"/>
        <v>50.831261653200755</v>
      </c>
      <c r="J66" s="137">
        <v>39</v>
      </c>
      <c r="K66" s="20">
        <v>153.05</v>
      </c>
      <c r="L66" s="20">
        <v>408.3</v>
      </c>
      <c r="M66" s="59">
        <f t="shared" si="2"/>
        <v>255.25</v>
      </c>
      <c r="N66" s="59">
        <f t="shared" si="3"/>
        <v>166.77556354132633</v>
      </c>
      <c r="O66" s="137">
        <v>3</v>
      </c>
      <c r="Q66" s="117" t="s">
        <v>200</v>
      </c>
      <c r="R66" s="134">
        <f>'[2]Taluk RR Rank'!E42+'[2]Taluk RR Rank'!I42+'[2]Taluk RR Rank'!N42</f>
        <v>10.646160288702163</v>
      </c>
      <c r="S66" s="135" t="s">
        <v>341</v>
      </c>
    </row>
    <row r="67" spans="1:19" ht="18" customHeight="1" thickBot="1" thickTop="1">
      <c r="A67" s="20">
        <v>61</v>
      </c>
      <c r="B67" s="88" t="s">
        <v>231</v>
      </c>
      <c r="C67" s="20">
        <v>1848.19</v>
      </c>
      <c r="D67" s="20">
        <v>352.87</v>
      </c>
      <c r="E67" s="59">
        <f t="shared" si="0"/>
        <v>19.09273397215654</v>
      </c>
      <c r="F67" s="79">
        <v>19</v>
      </c>
      <c r="G67" s="20">
        <v>272.59</v>
      </c>
      <c r="H67" s="20">
        <v>352.87</v>
      </c>
      <c r="I67" s="59">
        <f t="shared" si="1"/>
        <v>129.45082358120254</v>
      </c>
      <c r="J67" s="137">
        <v>14</v>
      </c>
      <c r="K67" s="20">
        <v>156.96</v>
      </c>
      <c r="L67" s="20">
        <v>123.76</v>
      </c>
      <c r="M67" s="59">
        <f t="shared" si="2"/>
        <v>-33.2</v>
      </c>
      <c r="N67" s="59">
        <f t="shared" si="3"/>
        <v>-21.151885830784913</v>
      </c>
      <c r="O67" s="137">
        <v>54</v>
      </c>
      <c r="Q67" s="117" t="s">
        <v>198</v>
      </c>
      <c r="R67" s="134">
        <f>'[2]Taluk RR Rank'!E40+'[2]Taluk RR Rank'!I40+'[2]Taluk RR Rank'!N40</f>
        <v>6.631396214222168</v>
      </c>
      <c r="S67" s="135" t="s">
        <v>342</v>
      </c>
    </row>
    <row r="68" spans="1:19" ht="18" customHeight="1" thickBot="1" thickTop="1">
      <c r="A68" s="20">
        <v>62</v>
      </c>
      <c r="B68" s="88" t="s">
        <v>233</v>
      </c>
      <c r="C68" s="20">
        <v>2344.88</v>
      </c>
      <c r="D68" s="20">
        <v>316.73</v>
      </c>
      <c r="E68" s="59">
        <f t="shared" si="0"/>
        <v>13.50730101327147</v>
      </c>
      <c r="F68" s="79">
        <v>27</v>
      </c>
      <c r="G68" s="20">
        <v>397.51</v>
      </c>
      <c r="H68" s="20">
        <v>316.73</v>
      </c>
      <c r="I68" s="59">
        <f t="shared" si="1"/>
        <v>79.67849865412191</v>
      </c>
      <c r="J68" s="137">
        <v>22</v>
      </c>
      <c r="K68" s="20">
        <v>108.5</v>
      </c>
      <c r="L68" s="20">
        <v>156.21</v>
      </c>
      <c r="M68" s="59">
        <f t="shared" si="2"/>
        <v>47.71000000000001</v>
      </c>
      <c r="N68" s="59">
        <f t="shared" si="3"/>
        <v>43.972350230414754</v>
      </c>
      <c r="O68" s="137">
        <v>14</v>
      </c>
      <c r="Q68" s="117" t="s">
        <v>197</v>
      </c>
      <c r="R68" s="134">
        <f>'[2]Taluk RR Rank'!E39+'[2]Taluk RR Rank'!I39+'[2]Taluk RR Rank'!N39</f>
        <v>-4.8061537361172455</v>
      </c>
      <c r="S68" s="135" t="s">
        <v>343</v>
      </c>
    </row>
    <row r="69" spans="1:19" ht="18" customHeight="1" thickBot="1" thickTop="1">
      <c r="A69" s="20">
        <v>63</v>
      </c>
      <c r="B69" s="88" t="s">
        <v>234</v>
      </c>
      <c r="C69" s="20">
        <v>900.55</v>
      </c>
      <c r="D69" s="20">
        <v>251.58</v>
      </c>
      <c r="E69" s="59">
        <f t="shared" si="0"/>
        <v>27.936261173727168</v>
      </c>
      <c r="F69" s="79">
        <v>12</v>
      </c>
      <c r="G69" s="20">
        <v>285.21</v>
      </c>
      <c r="H69" s="20">
        <v>251.58</v>
      </c>
      <c r="I69" s="59">
        <f t="shared" si="1"/>
        <v>88.20868833491113</v>
      </c>
      <c r="J69" s="137">
        <v>18</v>
      </c>
      <c r="K69" s="20">
        <v>87.31</v>
      </c>
      <c r="L69" s="20">
        <v>165.03</v>
      </c>
      <c r="M69" s="59">
        <f t="shared" si="2"/>
        <v>77.72</v>
      </c>
      <c r="N69" s="59">
        <f t="shared" si="3"/>
        <v>89.01614935288053</v>
      </c>
      <c r="O69" s="137">
        <v>6</v>
      </c>
      <c r="Q69" s="117" t="s">
        <v>195</v>
      </c>
      <c r="R69" s="134">
        <f>'[2]Taluk RR Rank'!E37+'[2]Taluk RR Rank'!I37+'[2]Taluk RR Rank'!N37</f>
        <v>-26.33022014118513</v>
      </c>
      <c r="S69" s="135" t="s">
        <v>344</v>
      </c>
    </row>
    <row r="70" ht="13.5" thickTop="1"/>
    <row r="71" ht="14.25">
      <c r="B71" s="120" t="s">
        <v>285</v>
      </c>
    </row>
    <row r="86" spans="1:4" ht="12.75">
      <c r="A86" s="54"/>
      <c r="B86" s="54"/>
      <c r="C86" s="54"/>
      <c r="D86" s="54"/>
    </row>
    <row r="87" spans="1:4" ht="12.75">
      <c r="A87" s="54"/>
      <c r="B87" s="138"/>
      <c r="C87" s="122"/>
      <c r="D87" s="54"/>
    </row>
    <row r="88" spans="1:4" ht="12.75">
      <c r="A88" s="54"/>
      <c r="B88" s="138"/>
      <c r="C88" s="122"/>
      <c r="D88" s="54"/>
    </row>
    <row r="89" spans="1:4" ht="12.75">
      <c r="A89" s="54"/>
      <c r="B89" s="138"/>
      <c r="C89" s="122"/>
      <c r="D89" s="54"/>
    </row>
    <row r="90" spans="1:4" ht="12.75">
      <c r="A90" s="54"/>
      <c r="B90" s="138"/>
      <c r="C90" s="122"/>
      <c r="D90" s="54"/>
    </row>
    <row r="91" spans="1:4" ht="12.75">
      <c r="A91" s="54"/>
      <c r="B91" s="138"/>
      <c r="C91" s="122"/>
      <c r="D91" s="54"/>
    </row>
    <row r="92" spans="1:4" ht="12.75">
      <c r="A92" s="54"/>
      <c r="B92" s="138"/>
      <c r="C92" s="122"/>
      <c r="D92" s="54"/>
    </row>
    <row r="93" spans="1:4" ht="12.75">
      <c r="A93" s="54"/>
      <c r="B93" s="138"/>
      <c r="C93" s="122"/>
      <c r="D93" s="54"/>
    </row>
    <row r="94" spans="1:4" ht="12.75">
      <c r="A94" s="54"/>
      <c r="B94" s="138"/>
      <c r="C94" s="122"/>
      <c r="D94" s="54"/>
    </row>
    <row r="95" spans="1:4" ht="12.75">
      <c r="A95" s="54"/>
      <c r="B95" s="138"/>
      <c r="C95" s="122"/>
      <c r="D95" s="54"/>
    </row>
    <row r="96" spans="1:4" ht="12.75">
      <c r="A96" s="54"/>
      <c r="B96" s="138"/>
      <c r="C96" s="122"/>
      <c r="D96" s="54"/>
    </row>
    <row r="97" spans="1:4" ht="12.75">
      <c r="A97" s="54"/>
      <c r="B97" s="138"/>
      <c r="C97" s="122"/>
      <c r="D97" s="54"/>
    </row>
    <row r="98" spans="1:4" ht="12.75">
      <c r="A98" s="54"/>
      <c r="B98" s="138"/>
      <c r="C98" s="122"/>
      <c r="D98" s="54"/>
    </row>
    <row r="99" spans="1:4" ht="12.75">
      <c r="A99" s="54"/>
      <c r="B99" s="138"/>
      <c r="C99" s="122"/>
      <c r="D99" s="54"/>
    </row>
    <row r="100" spans="1:4" ht="12.75">
      <c r="A100" s="54"/>
      <c r="B100" s="138"/>
      <c r="C100" s="122"/>
      <c r="D100" s="54"/>
    </row>
    <row r="101" spans="1:4" ht="12.75">
      <c r="A101" s="54"/>
      <c r="B101" s="138"/>
      <c r="C101" s="122"/>
      <c r="D101" s="54"/>
    </row>
    <row r="102" spans="1:4" ht="12.75">
      <c r="A102" s="139"/>
      <c r="B102" s="138"/>
      <c r="C102" s="122"/>
      <c r="D102" s="54"/>
    </row>
    <row r="103" spans="1:4" ht="12.75">
      <c r="A103" s="54"/>
      <c r="B103" s="138"/>
      <c r="C103" s="122"/>
      <c r="D103" s="54"/>
    </row>
    <row r="104" spans="1:4" ht="12.75">
      <c r="A104" s="54"/>
      <c r="B104" s="138"/>
      <c r="C104" s="122"/>
      <c r="D104" s="54"/>
    </row>
    <row r="105" spans="1:4" ht="12.75">
      <c r="A105" s="54"/>
      <c r="B105" s="138"/>
      <c r="C105" s="122"/>
      <c r="D105" s="54"/>
    </row>
    <row r="106" spans="1:4" ht="12.75">
      <c r="A106" s="54"/>
      <c r="B106" s="138"/>
      <c r="C106" s="122"/>
      <c r="D106" s="54"/>
    </row>
    <row r="107" spans="1:4" ht="12.75">
      <c r="A107" s="54"/>
      <c r="B107" s="138"/>
      <c r="C107" s="122"/>
      <c r="D107" s="54"/>
    </row>
    <row r="108" spans="1:4" ht="12.75">
      <c r="A108" s="54"/>
      <c r="B108" s="138"/>
      <c r="C108" s="122"/>
      <c r="D108" s="54"/>
    </row>
    <row r="109" spans="1:4" ht="12.75">
      <c r="A109" s="54"/>
      <c r="B109" s="138"/>
      <c r="C109" s="122"/>
      <c r="D109" s="54"/>
    </row>
    <row r="110" spans="1:4" ht="12.75">
      <c r="A110" s="54"/>
      <c r="B110" s="138"/>
      <c r="C110" s="122"/>
      <c r="D110" s="54"/>
    </row>
    <row r="111" spans="1:4" ht="12.75">
      <c r="A111" s="54"/>
      <c r="B111" s="138"/>
      <c r="C111" s="122"/>
      <c r="D111" s="54"/>
    </row>
    <row r="112" spans="1:4" ht="12.75">
      <c r="A112" s="54"/>
      <c r="B112" s="138"/>
      <c r="C112" s="122"/>
      <c r="D112" s="54"/>
    </row>
    <row r="113" spans="1:4" ht="12.75">
      <c r="A113" s="54"/>
      <c r="B113" s="138"/>
      <c r="C113" s="122"/>
      <c r="D113" s="54"/>
    </row>
    <row r="114" spans="1:4" ht="12.75">
      <c r="A114" s="54"/>
      <c r="B114" s="138"/>
      <c r="C114" s="122"/>
      <c r="D114" s="54"/>
    </row>
    <row r="115" spans="1:4" ht="12.75">
      <c r="A115" s="54"/>
      <c r="B115" s="138"/>
      <c r="C115" s="122"/>
      <c r="D115" s="54"/>
    </row>
    <row r="116" spans="1:4" ht="12.75">
      <c r="A116" s="54"/>
      <c r="B116" s="138"/>
      <c r="C116" s="122"/>
      <c r="D116" s="54"/>
    </row>
    <row r="117" spans="1:4" ht="12.75">
      <c r="A117" s="54"/>
      <c r="B117" s="138"/>
      <c r="C117" s="122"/>
      <c r="D117" s="54"/>
    </row>
    <row r="118" spans="1:4" ht="12.75">
      <c r="A118" s="54"/>
      <c r="B118" s="138"/>
      <c r="C118" s="122"/>
      <c r="D118" s="54"/>
    </row>
    <row r="119" spans="1:4" ht="12.75">
      <c r="A119" s="54"/>
      <c r="B119" s="138"/>
      <c r="C119" s="122"/>
      <c r="D119" s="54"/>
    </row>
    <row r="120" spans="1:4" ht="12.75">
      <c r="A120" s="54"/>
      <c r="B120" s="138"/>
      <c r="C120" s="122"/>
      <c r="D120" s="54"/>
    </row>
    <row r="121" spans="1:4" ht="12.75">
      <c r="A121" s="54"/>
      <c r="B121" s="138"/>
      <c r="C121" s="122"/>
      <c r="D121" s="54"/>
    </row>
    <row r="122" spans="1:4" ht="12.75">
      <c r="A122" s="54"/>
      <c r="B122" s="138"/>
      <c r="C122" s="122"/>
      <c r="D122" s="54"/>
    </row>
    <row r="123" spans="1:4" ht="12.75">
      <c r="A123" s="54"/>
      <c r="B123" s="138"/>
      <c r="C123" s="122"/>
      <c r="D123" s="54"/>
    </row>
    <row r="124" spans="1:4" ht="12.75">
      <c r="A124" s="54"/>
      <c r="B124" s="138"/>
      <c r="C124" s="122"/>
      <c r="D124" s="54"/>
    </row>
    <row r="125" spans="1:4" ht="12.75">
      <c r="A125" s="139"/>
      <c r="B125" s="138"/>
      <c r="C125" s="122"/>
      <c r="D125" s="54"/>
    </row>
    <row r="126" spans="1:4" ht="12.75">
      <c r="A126" s="54"/>
      <c r="B126" s="138"/>
      <c r="C126" s="122"/>
      <c r="D126" s="54"/>
    </row>
    <row r="127" spans="1:4" ht="12.75">
      <c r="A127" s="54"/>
      <c r="B127" s="138"/>
      <c r="C127" s="122"/>
      <c r="D127" s="54"/>
    </row>
    <row r="128" spans="1:4" ht="12.75">
      <c r="A128" s="54"/>
      <c r="B128" s="138"/>
      <c r="C128" s="122"/>
      <c r="D128" s="54"/>
    </row>
    <row r="129" spans="1:4" ht="12.75">
      <c r="A129" s="54"/>
      <c r="B129" s="138"/>
      <c r="C129" s="122"/>
      <c r="D129" s="54"/>
    </row>
    <row r="130" spans="1:4" ht="12.75">
      <c r="A130" s="54"/>
      <c r="B130" s="138"/>
      <c r="C130" s="122"/>
      <c r="D130" s="54"/>
    </row>
    <row r="131" spans="1:4" ht="12.75">
      <c r="A131" s="54"/>
      <c r="B131" s="138"/>
      <c r="C131" s="122"/>
      <c r="D131" s="54"/>
    </row>
    <row r="132" spans="1:4" ht="12.75">
      <c r="A132" s="54"/>
      <c r="B132" s="138"/>
      <c r="C132" s="122"/>
      <c r="D132" s="54"/>
    </row>
    <row r="133" spans="1:4" ht="12.75">
      <c r="A133" s="54"/>
      <c r="B133" s="138"/>
      <c r="C133" s="122"/>
      <c r="D133" s="54"/>
    </row>
    <row r="134" spans="1:4" ht="12.75">
      <c r="A134" s="54"/>
      <c r="B134" s="138"/>
      <c r="C134" s="122"/>
      <c r="D134" s="54"/>
    </row>
    <row r="135" spans="1:4" ht="12.75">
      <c r="A135" s="54"/>
      <c r="B135" s="138"/>
      <c r="C135" s="122"/>
      <c r="D135" s="54"/>
    </row>
    <row r="136" spans="1:4" ht="12.75">
      <c r="A136" s="54"/>
      <c r="B136" s="138"/>
      <c r="C136" s="122"/>
      <c r="D136" s="54"/>
    </row>
    <row r="137" spans="1:4" ht="12.75">
      <c r="A137" s="54"/>
      <c r="B137" s="138"/>
      <c r="C137" s="122"/>
      <c r="D137" s="54"/>
    </row>
    <row r="138" spans="1:4" ht="12.75">
      <c r="A138" s="54"/>
      <c r="B138" s="138"/>
      <c r="C138" s="122"/>
      <c r="D138" s="54"/>
    </row>
    <row r="139" spans="1:4" ht="12.75">
      <c r="A139" s="54"/>
      <c r="B139" s="138"/>
      <c r="C139" s="122"/>
      <c r="D139" s="54"/>
    </row>
    <row r="140" spans="1:4" ht="12.75">
      <c r="A140" s="54"/>
      <c r="B140" s="138"/>
      <c r="C140" s="122"/>
      <c r="D140" s="54"/>
    </row>
    <row r="141" spans="1:4" ht="12.75">
      <c r="A141" s="54"/>
      <c r="B141" s="138"/>
      <c r="C141" s="122"/>
      <c r="D141" s="54"/>
    </row>
    <row r="142" spans="1:4" ht="12.75">
      <c r="A142" s="54"/>
      <c r="B142" s="138"/>
      <c r="C142" s="122"/>
      <c r="D142" s="54"/>
    </row>
    <row r="143" spans="1:4" ht="12.75">
      <c r="A143" s="54"/>
      <c r="B143" s="138"/>
      <c r="C143" s="122"/>
      <c r="D143" s="54"/>
    </row>
    <row r="144" spans="1:4" ht="12.75">
      <c r="A144" s="54"/>
      <c r="B144" s="138"/>
      <c r="C144" s="122"/>
      <c r="D144" s="54"/>
    </row>
    <row r="145" spans="1:4" ht="12.75">
      <c r="A145" s="54"/>
      <c r="B145" s="138"/>
      <c r="C145" s="122"/>
      <c r="D145" s="54"/>
    </row>
    <row r="146" spans="1:4" ht="12.75">
      <c r="A146" s="54"/>
      <c r="B146" s="138"/>
      <c r="C146" s="122"/>
      <c r="D146" s="54"/>
    </row>
    <row r="147" spans="1:4" ht="12.75">
      <c r="A147" s="54"/>
      <c r="B147" s="138"/>
      <c r="C147" s="122"/>
      <c r="D147" s="54"/>
    </row>
    <row r="148" spans="1:4" ht="12.75">
      <c r="A148" s="54"/>
      <c r="B148" s="138"/>
      <c r="C148" s="122"/>
      <c r="D148" s="54"/>
    </row>
    <row r="149" spans="1:4" ht="12.75">
      <c r="A149" s="54"/>
      <c r="B149" s="138"/>
      <c r="C149" s="122"/>
      <c r="D149" s="54"/>
    </row>
    <row r="150" spans="1:4" ht="14.25">
      <c r="A150" s="54"/>
      <c r="B150" s="121"/>
      <c r="C150" s="122"/>
      <c r="D150" s="54"/>
    </row>
    <row r="151" spans="1:4" ht="14.25">
      <c r="A151" s="54"/>
      <c r="B151" s="121"/>
      <c r="C151" s="122"/>
      <c r="D151" s="54"/>
    </row>
    <row r="152" spans="1:4" ht="14.25">
      <c r="A152" s="54"/>
      <c r="B152" s="121"/>
      <c r="C152" s="122"/>
      <c r="D152" s="54"/>
    </row>
    <row r="153" spans="1:4" ht="14.25">
      <c r="A153" s="54"/>
      <c r="B153" s="121"/>
      <c r="C153" s="122"/>
      <c r="D153" s="54"/>
    </row>
    <row r="154" spans="1:4" ht="14.25">
      <c r="A154" s="139"/>
      <c r="B154" s="121"/>
      <c r="C154" s="122"/>
      <c r="D154" s="54"/>
    </row>
    <row r="155" spans="1:4" ht="14.25">
      <c r="A155" s="54"/>
      <c r="B155" s="121"/>
      <c r="C155" s="122"/>
      <c r="D155" s="54"/>
    </row>
    <row r="156" spans="1:4" ht="14.25">
      <c r="A156" s="54"/>
      <c r="B156" s="121"/>
      <c r="C156" s="122"/>
      <c r="D156" s="54"/>
    </row>
    <row r="157" spans="1:4" ht="14.25">
      <c r="A157" s="54"/>
      <c r="B157" s="121"/>
      <c r="C157" s="122"/>
      <c r="D157" s="54"/>
    </row>
    <row r="158" spans="1:4" ht="14.25">
      <c r="A158" s="54"/>
      <c r="B158" s="121"/>
      <c r="C158" s="122"/>
      <c r="D158" s="54"/>
    </row>
    <row r="159" spans="1:4" ht="14.25">
      <c r="A159" s="54"/>
      <c r="B159" s="121"/>
      <c r="C159" s="122"/>
      <c r="D159" s="54"/>
    </row>
    <row r="160" spans="1:4" ht="14.25">
      <c r="A160" s="54"/>
      <c r="B160" s="121"/>
      <c r="C160" s="122"/>
      <c r="D160" s="54"/>
    </row>
    <row r="161" spans="1:4" ht="14.25">
      <c r="A161" s="54"/>
      <c r="B161" s="121"/>
      <c r="C161" s="122"/>
      <c r="D161" s="54"/>
    </row>
    <row r="162" spans="1:4" ht="14.25">
      <c r="A162" s="54"/>
      <c r="B162" s="121"/>
      <c r="C162" s="122"/>
      <c r="D162" s="54"/>
    </row>
    <row r="163" spans="1:4" ht="14.25">
      <c r="A163" s="54"/>
      <c r="B163" s="121"/>
      <c r="C163" s="122"/>
      <c r="D163" s="54"/>
    </row>
    <row r="164" spans="1:4" ht="14.25">
      <c r="A164" s="54"/>
      <c r="B164" s="121"/>
      <c r="C164" s="122"/>
      <c r="D164" s="54"/>
    </row>
    <row r="165" spans="1:4" ht="14.25">
      <c r="A165" s="54"/>
      <c r="B165" s="121"/>
      <c r="C165" s="122"/>
      <c r="D165" s="54"/>
    </row>
    <row r="166" spans="1:4" ht="14.25">
      <c r="A166" s="54"/>
      <c r="B166" s="121"/>
      <c r="C166" s="122"/>
      <c r="D166" s="54"/>
    </row>
    <row r="167" spans="1:4" ht="14.25">
      <c r="A167" s="54"/>
      <c r="B167" s="121"/>
      <c r="C167" s="122"/>
      <c r="D167" s="54"/>
    </row>
    <row r="168" spans="1:4" ht="14.25">
      <c r="A168" s="54"/>
      <c r="B168" s="121"/>
      <c r="C168" s="122"/>
      <c r="D168" s="54"/>
    </row>
    <row r="169" spans="1:4" ht="14.25">
      <c r="A169" s="54"/>
      <c r="B169" s="121"/>
      <c r="C169" s="122"/>
      <c r="D169" s="54"/>
    </row>
    <row r="170" spans="1:4" ht="14.25">
      <c r="A170" s="54"/>
      <c r="B170" s="121"/>
      <c r="C170" s="122"/>
      <c r="D170" s="54"/>
    </row>
    <row r="171" spans="1:4" ht="14.25">
      <c r="A171" s="54"/>
      <c r="B171" s="121"/>
      <c r="C171" s="122"/>
      <c r="D171" s="54"/>
    </row>
    <row r="172" spans="1:4" ht="14.25">
      <c r="A172" s="139"/>
      <c r="B172" s="121"/>
      <c r="C172" s="122"/>
      <c r="D172" s="54"/>
    </row>
    <row r="173" spans="1:4" ht="14.25">
      <c r="A173" s="54"/>
      <c r="B173" s="140"/>
      <c r="C173" s="122"/>
      <c r="D173" s="54"/>
    </row>
    <row r="174" spans="1:4" ht="14.25">
      <c r="A174" s="54"/>
      <c r="B174" s="121"/>
      <c r="C174" s="122"/>
      <c r="D174" s="54"/>
    </row>
    <row r="175" spans="1:4" ht="14.25">
      <c r="A175" s="54"/>
      <c r="B175" s="121"/>
      <c r="C175" s="122"/>
      <c r="D175" s="54"/>
    </row>
    <row r="176" spans="1:4" ht="14.25">
      <c r="A176" s="54"/>
      <c r="B176" s="121"/>
      <c r="C176" s="122"/>
      <c r="D176" s="54"/>
    </row>
    <row r="177" spans="1:4" ht="14.25">
      <c r="A177" s="54"/>
      <c r="B177" s="121"/>
      <c r="C177" s="122"/>
      <c r="D177" s="54"/>
    </row>
    <row r="178" spans="1:4" ht="14.25">
      <c r="A178" s="54"/>
      <c r="B178" s="121"/>
      <c r="C178" s="122"/>
      <c r="D178" s="54"/>
    </row>
    <row r="179" spans="1:4" ht="14.25">
      <c r="A179" s="54"/>
      <c r="B179" s="121"/>
      <c r="C179" s="122"/>
      <c r="D179" s="54"/>
    </row>
    <row r="180" spans="1:4" ht="14.25">
      <c r="A180" s="54"/>
      <c r="B180" s="121"/>
      <c r="C180" s="122"/>
      <c r="D180" s="54"/>
    </row>
    <row r="181" spans="1:4" ht="14.25">
      <c r="A181" s="54"/>
      <c r="B181" s="121"/>
      <c r="C181" s="122"/>
      <c r="D181" s="54"/>
    </row>
    <row r="182" spans="1:4" ht="14.25">
      <c r="A182" s="54"/>
      <c r="B182" s="121"/>
      <c r="C182" s="122"/>
      <c r="D182" s="54"/>
    </row>
    <row r="183" spans="1:4" ht="14.25">
      <c r="A183" s="54"/>
      <c r="B183" s="121"/>
      <c r="C183" s="122"/>
      <c r="D183" s="54"/>
    </row>
    <row r="184" spans="1:4" ht="14.25">
      <c r="A184" s="54"/>
      <c r="B184" s="121"/>
      <c r="C184" s="122"/>
      <c r="D184" s="54"/>
    </row>
    <row r="185" spans="1:4" ht="14.25">
      <c r="A185" s="54"/>
      <c r="B185" s="121"/>
      <c r="C185" s="122"/>
      <c r="D185" s="54"/>
    </row>
    <row r="186" spans="1:4" ht="14.25">
      <c r="A186" s="54"/>
      <c r="B186" s="121"/>
      <c r="C186" s="122"/>
      <c r="D186" s="54"/>
    </row>
    <row r="187" spans="1:4" ht="14.25">
      <c r="A187" s="54"/>
      <c r="B187" s="121"/>
      <c r="C187" s="122"/>
      <c r="D187" s="54"/>
    </row>
    <row r="188" spans="1:4" ht="14.25">
      <c r="A188" s="54"/>
      <c r="B188" s="121"/>
      <c r="C188" s="122"/>
      <c r="D188" s="54"/>
    </row>
    <row r="189" spans="1:4" ht="14.25">
      <c r="A189" s="54"/>
      <c r="B189" s="121"/>
      <c r="C189" s="122"/>
      <c r="D189" s="54"/>
    </row>
    <row r="190" spans="1:4" ht="14.25">
      <c r="A190" s="54"/>
      <c r="B190" s="121"/>
      <c r="C190" s="122"/>
      <c r="D190" s="54"/>
    </row>
    <row r="191" spans="1:4" ht="14.25">
      <c r="A191" s="54"/>
      <c r="B191" s="121"/>
      <c r="C191" s="122"/>
      <c r="D191" s="54"/>
    </row>
    <row r="192" spans="1:4" ht="14.25">
      <c r="A192" s="54"/>
      <c r="B192" s="121"/>
      <c r="C192" s="122"/>
      <c r="D192" s="54"/>
    </row>
    <row r="193" spans="1:4" ht="14.25">
      <c r="A193" s="54"/>
      <c r="B193" s="121"/>
      <c r="C193" s="122"/>
      <c r="D193" s="54"/>
    </row>
    <row r="194" spans="1:4" ht="14.25">
      <c r="A194" s="54"/>
      <c r="B194" s="121"/>
      <c r="C194" s="122"/>
      <c r="D194" s="54"/>
    </row>
    <row r="195" spans="1:4" ht="14.25">
      <c r="A195" s="54"/>
      <c r="B195" s="140"/>
      <c r="C195" s="122"/>
      <c r="D195" s="54"/>
    </row>
    <row r="196" spans="1:4" ht="14.25">
      <c r="A196" s="54"/>
      <c r="B196" s="121"/>
      <c r="C196" s="122"/>
      <c r="D196" s="54"/>
    </row>
    <row r="197" spans="1:4" ht="14.25">
      <c r="A197" s="54"/>
      <c r="B197" s="121"/>
      <c r="C197" s="122"/>
      <c r="D197" s="54"/>
    </row>
    <row r="198" spans="1:4" ht="14.25">
      <c r="A198" s="54"/>
      <c r="B198" s="121"/>
      <c r="C198" s="122"/>
      <c r="D198" s="54"/>
    </row>
    <row r="199" spans="1:4" ht="14.25">
      <c r="A199" s="54"/>
      <c r="B199" s="121"/>
      <c r="C199" s="122"/>
      <c r="D199" s="54"/>
    </row>
    <row r="200" spans="1:4" ht="14.25">
      <c r="A200" s="54"/>
      <c r="B200" s="121"/>
      <c r="C200" s="122"/>
      <c r="D200" s="54"/>
    </row>
    <row r="201" spans="1:4" ht="14.25">
      <c r="A201" s="54"/>
      <c r="B201" s="121"/>
      <c r="C201" s="122"/>
      <c r="D201" s="54"/>
    </row>
    <row r="202" spans="1:4" ht="12.75">
      <c r="A202" s="54"/>
      <c r="B202" s="54"/>
      <c r="C202" s="54"/>
      <c r="D202" s="54"/>
    </row>
    <row r="203" spans="1:4" ht="12.75">
      <c r="A203" s="54"/>
      <c r="B203" s="54"/>
      <c r="C203" s="54"/>
      <c r="D203" s="54"/>
    </row>
    <row r="204" spans="1:4" ht="12.75">
      <c r="A204" s="54"/>
      <c r="B204" s="54"/>
      <c r="C204" s="54"/>
      <c r="D204" s="54"/>
    </row>
    <row r="205" spans="1:4" ht="12.75">
      <c r="A205" s="54"/>
      <c r="B205" s="54"/>
      <c r="C205" s="54"/>
      <c r="D205" s="54"/>
    </row>
    <row r="206" spans="1:4" ht="12.75">
      <c r="A206" s="54"/>
      <c r="B206" s="54"/>
      <c r="C206" s="54"/>
      <c r="D206" s="54"/>
    </row>
    <row r="207" spans="1:4" ht="12.75">
      <c r="A207" s="54"/>
      <c r="B207" s="54"/>
      <c r="C207" s="54"/>
      <c r="D207" s="54"/>
    </row>
    <row r="208" spans="1:4" ht="12.75">
      <c r="A208" s="54"/>
      <c r="B208" s="54"/>
      <c r="C208" s="54"/>
      <c r="D208" s="54"/>
    </row>
    <row r="209" spans="1:4" ht="12.75">
      <c r="A209" s="54"/>
      <c r="B209" s="54"/>
      <c r="C209" s="54"/>
      <c r="D209" s="54"/>
    </row>
    <row r="210" spans="1:4" ht="12.75">
      <c r="A210" s="54"/>
      <c r="B210" s="54"/>
      <c r="C210" s="54"/>
      <c r="D210" s="54"/>
    </row>
    <row r="211" spans="1:4" ht="12.75">
      <c r="A211" s="54"/>
      <c r="B211" s="54"/>
      <c r="C211" s="54"/>
      <c r="D211" s="54"/>
    </row>
    <row r="212" spans="1:4" ht="12.75">
      <c r="A212" s="54"/>
      <c r="B212" s="54"/>
      <c r="C212" s="54"/>
      <c r="D212" s="54"/>
    </row>
    <row r="213" spans="1:4" ht="12.75">
      <c r="A213" s="54"/>
      <c r="B213" s="54"/>
      <c r="C213" s="54"/>
      <c r="D213" s="54"/>
    </row>
    <row r="214" spans="1:4" ht="12.75">
      <c r="A214" s="54"/>
      <c r="B214" s="54"/>
      <c r="C214" s="54"/>
      <c r="D214" s="54"/>
    </row>
    <row r="215" spans="1:4" ht="12.75">
      <c r="A215" s="54"/>
      <c r="B215" s="54"/>
      <c r="C215" s="54"/>
      <c r="D215" s="54"/>
    </row>
    <row r="216" spans="1:4" ht="12.75">
      <c r="A216" s="54"/>
      <c r="B216" s="54"/>
      <c r="C216" s="54"/>
      <c r="D216" s="54"/>
    </row>
    <row r="217" spans="1:4" ht="12.75">
      <c r="A217" s="54"/>
      <c r="B217" s="54"/>
      <c r="C217" s="54"/>
      <c r="D217" s="54"/>
    </row>
    <row r="218" spans="1:4" ht="12.75">
      <c r="A218" s="54"/>
      <c r="B218" s="54"/>
      <c r="C218" s="54"/>
      <c r="D218" s="54"/>
    </row>
    <row r="219" spans="1:4" ht="12.75">
      <c r="A219" s="54"/>
      <c r="B219" s="54"/>
      <c r="C219" s="54"/>
      <c r="D219" s="54"/>
    </row>
    <row r="220" spans="1:4" ht="12.75">
      <c r="A220" s="54"/>
      <c r="B220" s="54"/>
      <c r="C220" s="54"/>
      <c r="D220" s="54"/>
    </row>
    <row r="221" spans="1:4" ht="12.75">
      <c r="A221" s="54"/>
      <c r="B221" s="54"/>
      <c r="C221" s="54"/>
      <c r="D221" s="54"/>
    </row>
    <row r="222" spans="1:4" ht="12.75">
      <c r="A222" s="54"/>
      <c r="B222" s="54"/>
      <c r="C222" s="54"/>
      <c r="D222" s="54"/>
    </row>
    <row r="223" spans="1:4" ht="12.75">
      <c r="A223" s="54"/>
      <c r="B223" s="54"/>
      <c r="C223" s="54"/>
      <c r="D223" s="54"/>
    </row>
    <row r="224" spans="1:4" ht="12.75">
      <c r="A224" s="54"/>
      <c r="B224" s="54"/>
      <c r="C224" s="54"/>
      <c r="D224" s="54"/>
    </row>
    <row r="225" spans="1:4" ht="12.75">
      <c r="A225" s="54"/>
      <c r="B225" s="54"/>
      <c r="C225" s="54"/>
      <c r="D225" s="54"/>
    </row>
    <row r="267" spans="1:2" ht="14.25">
      <c r="A267" s="20"/>
      <c r="B267" s="85"/>
    </row>
    <row r="268" spans="1:2" ht="14.25">
      <c r="A268" s="20"/>
      <c r="B268" s="85"/>
    </row>
    <row r="269" spans="1:2" ht="14.25">
      <c r="A269" s="20"/>
      <c r="B269" s="85"/>
    </row>
    <row r="270" spans="1:2" ht="14.25">
      <c r="A270" s="20"/>
      <c r="B270" s="85"/>
    </row>
    <row r="271" spans="1:2" ht="14.25">
      <c r="A271" s="20"/>
      <c r="B271" s="85"/>
    </row>
    <row r="272" spans="1:2" ht="14.25">
      <c r="A272" s="20"/>
      <c r="B272" s="85"/>
    </row>
    <row r="273" spans="1:2" ht="14.25">
      <c r="A273" s="20">
        <v>7</v>
      </c>
      <c r="B273" s="85" t="s">
        <v>166</v>
      </c>
    </row>
    <row r="274" spans="1:2" ht="14.25">
      <c r="A274" s="20">
        <v>8</v>
      </c>
      <c r="B274" s="85" t="s">
        <v>167</v>
      </c>
    </row>
    <row r="275" spans="1:2" ht="14.25">
      <c r="A275" s="20">
        <v>9</v>
      </c>
      <c r="B275" s="85" t="s">
        <v>168</v>
      </c>
    </row>
    <row r="276" spans="1:2" ht="14.25">
      <c r="A276" s="20">
        <v>10</v>
      </c>
      <c r="B276" s="85" t="s">
        <v>170</v>
      </c>
    </row>
    <row r="277" spans="1:2" ht="14.25">
      <c r="A277" s="20">
        <v>11</v>
      </c>
      <c r="B277" s="85" t="s">
        <v>171</v>
      </c>
    </row>
    <row r="278" spans="1:2" ht="14.25">
      <c r="A278" s="20">
        <v>12</v>
      </c>
      <c r="B278" s="85" t="s">
        <v>172</v>
      </c>
    </row>
    <row r="279" spans="1:2" ht="14.25">
      <c r="A279" s="20">
        <v>13</v>
      </c>
      <c r="B279" s="85" t="s">
        <v>173</v>
      </c>
    </row>
    <row r="280" spans="1:2" ht="14.25">
      <c r="A280" s="20">
        <v>14</v>
      </c>
      <c r="B280" s="85" t="s">
        <v>174</v>
      </c>
    </row>
    <row r="281" spans="1:2" ht="14.25">
      <c r="A281" s="20">
        <v>15</v>
      </c>
      <c r="B281" s="85" t="s">
        <v>176</v>
      </c>
    </row>
    <row r="282" spans="1:2" ht="14.25">
      <c r="A282" s="24">
        <v>16</v>
      </c>
      <c r="B282" s="3" t="s">
        <v>177</v>
      </c>
    </row>
    <row r="283" spans="1:2" ht="14.25">
      <c r="A283" s="20">
        <v>17</v>
      </c>
      <c r="B283" s="85" t="s">
        <v>178</v>
      </c>
    </row>
    <row r="284" spans="1:2" ht="14.25">
      <c r="A284" s="20">
        <v>18</v>
      </c>
      <c r="B284" s="85" t="s">
        <v>179</v>
      </c>
    </row>
    <row r="285" spans="1:2" ht="14.25">
      <c r="A285" s="20">
        <v>19</v>
      </c>
      <c r="B285" s="85" t="s">
        <v>180</v>
      </c>
    </row>
    <row r="286" spans="1:2" ht="14.25">
      <c r="A286" s="20">
        <v>20</v>
      </c>
      <c r="B286" s="85" t="s">
        <v>181</v>
      </c>
    </row>
    <row r="287" spans="1:2" ht="14.25">
      <c r="A287" s="20">
        <v>21</v>
      </c>
      <c r="B287" s="85" t="s">
        <v>183</v>
      </c>
    </row>
    <row r="288" spans="1:2" ht="14.25">
      <c r="A288" s="20">
        <v>22</v>
      </c>
      <c r="B288" s="85" t="s">
        <v>184</v>
      </c>
    </row>
    <row r="289" spans="1:2" ht="14.25">
      <c r="A289" s="20">
        <v>23</v>
      </c>
      <c r="B289" s="85" t="s">
        <v>185</v>
      </c>
    </row>
    <row r="290" spans="1:2" ht="14.25">
      <c r="A290" s="20">
        <v>24</v>
      </c>
      <c r="B290" s="85" t="s">
        <v>186</v>
      </c>
    </row>
    <row r="291" spans="1:2" ht="14.25">
      <c r="A291" s="20">
        <v>25</v>
      </c>
      <c r="B291" s="85" t="s">
        <v>187</v>
      </c>
    </row>
    <row r="292" spans="1:2" ht="14.25">
      <c r="A292" s="20">
        <v>26</v>
      </c>
      <c r="B292" s="85" t="s">
        <v>189</v>
      </c>
    </row>
    <row r="293" spans="1:2" ht="14.25">
      <c r="A293" s="20">
        <v>27</v>
      </c>
      <c r="B293" s="85" t="s">
        <v>190</v>
      </c>
    </row>
    <row r="294" spans="1:2" ht="14.25">
      <c r="A294" s="20">
        <v>28</v>
      </c>
      <c r="B294" s="85" t="s">
        <v>191</v>
      </c>
    </row>
    <row r="295" spans="1:2" ht="14.25">
      <c r="A295" s="20">
        <v>29</v>
      </c>
      <c r="B295" s="85" t="s">
        <v>192</v>
      </c>
    </row>
    <row r="296" spans="1:2" ht="14.25">
      <c r="A296" s="20">
        <v>30</v>
      </c>
      <c r="B296" s="85" t="s">
        <v>194</v>
      </c>
    </row>
    <row r="297" spans="1:2" ht="14.25">
      <c r="A297" s="20">
        <v>31</v>
      </c>
      <c r="B297" s="85" t="s">
        <v>195</v>
      </c>
    </row>
    <row r="298" spans="1:2" ht="14.25">
      <c r="A298" s="20">
        <v>32</v>
      </c>
      <c r="B298" s="85" t="s">
        <v>196</v>
      </c>
    </row>
    <row r="299" spans="1:2" ht="14.25">
      <c r="A299" s="20">
        <v>33</v>
      </c>
      <c r="B299" s="85" t="s">
        <v>197</v>
      </c>
    </row>
    <row r="300" spans="1:2" ht="14.25">
      <c r="A300" s="20">
        <v>34</v>
      </c>
      <c r="B300" s="85" t="s">
        <v>198</v>
      </c>
    </row>
    <row r="301" spans="1:2" ht="14.25">
      <c r="A301" s="20">
        <v>35</v>
      </c>
      <c r="B301" s="85" t="s">
        <v>199</v>
      </c>
    </row>
    <row r="302" spans="1:2" ht="14.25">
      <c r="A302" s="20">
        <v>36</v>
      </c>
      <c r="B302" s="85" t="s">
        <v>200</v>
      </c>
    </row>
    <row r="303" spans="1:2" ht="14.25">
      <c r="A303" s="20">
        <v>37</v>
      </c>
      <c r="B303" s="85" t="s">
        <v>202</v>
      </c>
    </row>
    <row r="304" spans="1:2" ht="14.25">
      <c r="A304" s="20">
        <v>38</v>
      </c>
      <c r="B304" s="85" t="s">
        <v>203</v>
      </c>
    </row>
    <row r="305" spans="1:2" ht="14.25">
      <c r="A305" s="24">
        <v>39</v>
      </c>
      <c r="B305" s="3" t="s">
        <v>204</v>
      </c>
    </row>
    <row r="306" spans="1:2" ht="14.25">
      <c r="A306" s="20">
        <v>40</v>
      </c>
      <c r="B306" s="85" t="s">
        <v>205</v>
      </c>
    </row>
    <row r="307" spans="1:2" ht="14.25">
      <c r="A307" s="20">
        <v>41</v>
      </c>
      <c r="B307" s="85" t="s">
        <v>206</v>
      </c>
    </row>
    <row r="308" spans="1:2" ht="14.25">
      <c r="A308" s="20">
        <v>42</v>
      </c>
      <c r="B308" s="85" t="s">
        <v>208</v>
      </c>
    </row>
    <row r="309" spans="1:2" ht="14.25">
      <c r="A309" s="20">
        <v>43</v>
      </c>
      <c r="B309" s="85" t="s">
        <v>209</v>
      </c>
    </row>
    <row r="310" spans="1:2" ht="14.25">
      <c r="A310" s="20">
        <v>44</v>
      </c>
      <c r="B310" s="85" t="s">
        <v>210</v>
      </c>
    </row>
    <row r="311" spans="1:2" ht="14.25">
      <c r="A311" s="20">
        <v>45</v>
      </c>
      <c r="B311" s="85" t="s">
        <v>211</v>
      </c>
    </row>
    <row r="312" spans="1:2" ht="14.25">
      <c r="A312" s="20">
        <v>46</v>
      </c>
      <c r="B312" s="85" t="s">
        <v>212</v>
      </c>
    </row>
    <row r="313" spans="1:2" ht="14.25">
      <c r="A313" s="20">
        <v>47</v>
      </c>
      <c r="B313" s="85" t="s">
        <v>214</v>
      </c>
    </row>
    <row r="314" spans="1:2" ht="14.25">
      <c r="A314" s="20">
        <v>48</v>
      </c>
      <c r="B314" s="85" t="s">
        <v>215</v>
      </c>
    </row>
    <row r="315" spans="1:2" ht="14.25">
      <c r="A315" s="20">
        <v>49</v>
      </c>
      <c r="B315" s="85" t="s">
        <v>216</v>
      </c>
    </row>
    <row r="316" spans="1:2" ht="14.25">
      <c r="A316" s="20">
        <v>50</v>
      </c>
      <c r="B316" s="85" t="s">
        <v>217</v>
      </c>
    </row>
    <row r="317" spans="1:2" ht="14.25">
      <c r="A317" s="20">
        <v>51</v>
      </c>
      <c r="B317" s="85" t="s">
        <v>218</v>
      </c>
    </row>
    <row r="318" spans="1:2" ht="14.25">
      <c r="A318" s="20">
        <v>52</v>
      </c>
      <c r="B318" s="85" t="s">
        <v>219</v>
      </c>
    </row>
    <row r="319" spans="1:2" ht="14.25">
      <c r="A319" s="20">
        <v>53</v>
      </c>
      <c r="B319" s="85" t="s">
        <v>221</v>
      </c>
    </row>
    <row r="320" spans="1:2" ht="14.25">
      <c r="A320" s="20">
        <v>54</v>
      </c>
      <c r="B320" s="85" t="s">
        <v>222</v>
      </c>
    </row>
    <row r="321" spans="1:2" ht="14.25">
      <c r="A321" s="20">
        <v>55</v>
      </c>
      <c r="B321" s="85" t="s">
        <v>223</v>
      </c>
    </row>
    <row r="322" spans="1:2" ht="14.25">
      <c r="A322" s="20">
        <v>56</v>
      </c>
      <c r="B322" s="85" t="s">
        <v>225</v>
      </c>
    </row>
    <row r="323" spans="1:2" ht="14.25">
      <c r="A323" s="20">
        <v>57</v>
      </c>
      <c r="B323" s="85" t="s">
        <v>226</v>
      </c>
    </row>
    <row r="324" spans="1:2" ht="14.25">
      <c r="A324" s="20">
        <v>58</v>
      </c>
      <c r="B324" s="85" t="s">
        <v>227</v>
      </c>
    </row>
    <row r="325" spans="1:2" ht="14.25">
      <c r="A325" s="20">
        <v>59</v>
      </c>
      <c r="B325" s="85" t="s">
        <v>229</v>
      </c>
    </row>
    <row r="326" spans="1:2" ht="14.25">
      <c r="A326" s="20">
        <v>60</v>
      </c>
      <c r="B326" s="85" t="s">
        <v>230</v>
      </c>
    </row>
    <row r="327" spans="1:2" ht="14.25">
      <c r="A327" s="20">
        <v>61</v>
      </c>
      <c r="B327" s="85" t="s">
        <v>231</v>
      </c>
    </row>
    <row r="328" spans="1:2" ht="14.25">
      <c r="A328" s="20">
        <v>62</v>
      </c>
      <c r="B328" s="85" t="s">
        <v>233</v>
      </c>
    </row>
    <row r="329" spans="1:2" ht="14.25">
      <c r="A329" s="20">
        <v>63</v>
      </c>
      <c r="B329" s="85" t="s">
        <v>234</v>
      </c>
    </row>
  </sheetData>
  <mergeCells count="11">
    <mergeCell ref="Q4:Q5"/>
    <mergeCell ref="R4:R5"/>
    <mergeCell ref="S4:S5"/>
    <mergeCell ref="A1:S1"/>
    <mergeCell ref="A2:S2"/>
    <mergeCell ref="A3:S3"/>
    <mergeCell ref="A4:A5"/>
    <mergeCell ref="B4:B5"/>
    <mergeCell ref="C4:F4"/>
    <mergeCell ref="G4:J4"/>
    <mergeCell ref="K4:O4"/>
  </mergeCells>
  <printOptions/>
  <pageMargins left="0.24" right="0.3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51"/>
  <sheetViews>
    <sheetView workbookViewId="0" topLeftCell="A1">
      <selection activeCell="I15" sqref="I15"/>
    </sheetView>
  </sheetViews>
  <sheetFormatPr defaultColWidth="9.140625" defaultRowHeight="12.75"/>
  <cols>
    <col min="1" max="1" width="3.8515625" style="0" customWidth="1"/>
    <col min="2" max="2" width="17.421875" style="0" customWidth="1"/>
    <col min="3" max="3" width="7.421875" style="0" customWidth="1"/>
    <col min="4" max="4" width="7.57421875" style="0" customWidth="1"/>
    <col min="5" max="5" width="6.28125" style="0" customWidth="1"/>
    <col min="6" max="6" width="6.00390625" style="0" customWidth="1"/>
    <col min="7" max="7" width="7.8515625" style="0" customWidth="1"/>
    <col min="8" max="8" width="7.421875" style="0" customWidth="1"/>
    <col min="9" max="9" width="6.57421875" style="0" customWidth="1"/>
    <col min="10" max="10" width="5.28125" style="0" customWidth="1"/>
    <col min="11" max="11" width="7.7109375" style="0" customWidth="1"/>
    <col min="12" max="12" width="7.57421875" style="0" customWidth="1"/>
    <col min="13" max="13" width="6.8515625" style="0" customWidth="1"/>
    <col min="14" max="14" width="6.57421875" style="0" customWidth="1"/>
    <col min="15" max="15" width="4.7109375" style="0" customWidth="1"/>
    <col min="16" max="16" width="1.8515625" style="0" customWidth="1"/>
    <col min="17" max="17" width="20.00390625" style="0" customWidth="1"/>
    <col min="18" max="18" width="11.28125" style="0" customWidth="1"/>
    <col min="19" max="19" width="6.57421875" style="0" customWidth="1"/>
  </cols>
  <sheetData>
    <row r="1" spans="1:19" ht="18">
      <c r="A1" s="215" t="s">
        <v>290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23.25" customHeight="1">
      <c r="A2" s="216" t="s">
        <v>256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21" thickBot="1">
      <c r="A3" s="217" t="s">
        <v>345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s="107" customFormat="1" ht="29.25" customHeight="1" thickBot="1" thickTop="1">
      <c r="A4" s="218" t="s">
        <v>258</v>
      </c>
      <c r="B4" s="218" t="s">
        <v>293</v>
      </c>
      <c r="C4" s="219" t="s">
        <v>260</v>
      </c>
      <c r="D4" s="219"/>
      <c r="E4" s="219"/>
      <c r="F4" s="219"/>
      <c r="G4" s="219" t="s">
        <v>261</v>
      </c>
      <c r="H4" s="219"/>
      <c r="I4" s="219"/>
      <c r="J4" s="219"/>
      <c r="K4" s="219" t="s">
        <v>262</v>
      </c>
      <c r="L4" s="219"/>
      <c r="M4" s="219"/>
      <c r="N4" s="219"/>
      <c r="O4" s="219"/>
      <c r="P4" s="106"/>
      <c r="Q4" s="214" t="s">
        <v>293</v>
      </c>
      <c r="R4" s="214" t="s">
        <v>263</v>
      </c>
      <c r="S4" s="214" t="s">
        <v>264</v>
      </c>
    </row>
    <row r="5" spans="1:19" s="107" customFormat="1" ht="84" customHeight="1" thickBot="1" thickTop="1">
      <c r="A5" s="218"/>
      <c r="B5" s="218"/>
      <c r="C5" s="130" t="s">
        <v>6</v>
      </c>
      <c r="D5" s="130" t="s">
        <v>15</v>
      </c>
      <c r="E5" s="130" t="s">
        <v>265</v>
      </c>
      <c r="F5" s="130" t="s">
        <v>266</v>
      </c>
      <c r="G5" s="130" t="s">
        <v>39</v>
      </c>
      <c r="H5" s="130" t="s">
        <v>244</v>
      </c>
      <c r="I5" s="130" t="s">
        <v>265</v>
      </c>
      <c r="J5" s="130" t="s">
        <v>266</v>
      </c>
      <c r="K5" s="130" t="s">
        <v>267</v>
      </c>
      <c r="L5" s="130" t="s">
        <v>268</v>
      </c>
      <c r="M5" s="130" t="s">
        <v>269</v>
      </c>
      <c r="N5" s="130" t="s">
        <v>265</v>
      </c>
      <c r="O5" s="130" t="s">
        <v>266</v>
      </c>
      <c r="P5" s="110"/>
      <c r="Q5" s="220"/>
      <c r="R5" s="214"/>
      <c r="S5" s="214"/>
    </row>
    <row r="6" spans="1:19" s="107" customFormat="1" ht="18.75" customHeight="1" thickBot="1" thickTop="1">
      <c r="A6" s="111">
        <v>1</v>
      </c>
      <c r="B6" s="111">
        <v>2</v>
      </c>
      <c r="C6" s="111">
        <v>3</v>
      </c>
      <c r="D6" s="111">
        <v>4</v>
      </c>
      <c r="E6" s="111">
        <v>5</v>
      </c>
      <c r="F6" s="111">
        <v>6</v>
      </c>
      <c r="G6" s="111">
        <v>7</v>
      </c>
      <c r="H6" s="111">
        <v>8</v>
      </c>
      <c r="I6" s="111">
        <v>9</v>
      </c>
      <c r="J6" s="111">
        <v>10</v>
      </c>
      <c r="K6" s="111">
        <v>11</v>
      </c>
      <c r="L6" s="111">
        <v>12</v>
      </c>
      <c r="M6" s="111">
        <v>13</v>
      </c>
      <c r="N6" s="111">
        <v>14</v>
      </c>
      <c r="O6" s="111">
        <v>15</v>
      </c>
      <c r="P6" s="132"/>
      <c r="Q6" s="113">
        <v>16</v>
      </c>
      <c r="R6" s="113" t="s">
        <v>270</v>
      </c>
      <c r="S6" s="141">
        <v>18</v>
      </c>
    </row>
    <row r="7" spans="1:19" ht="18" customHeight="1" thickBot="1" thickTop="1">
      <c r="A7" s="20">
        <v>1</v>
      </c>
      <c r="B7" s="88" t="s">
        <v>159</v>
      </c>
      <c r="C7" s="20">
        <v>3317.93</v>
      </c>
      <c r="D7" s="59">
        <v>762.07</v>
      </c>
      <c r="E7" s="59">
        <f>D7/C7*100</f>
        <v>22.968236219570638</v>
      </c>
      <c r="F7" s="116">
        <v>62</v>
      </c>
      <c r="G7" s="59">
        <v>985.96</v>
      </c>
      <c r="H7" s="59">
        <v>762.07</v>
      </c>
      <c r="I7" s="59">
        <f>H7/G7*100</f>
        <v>77.29218223863037</v>
      </c>
      <c r="J7" s="116">
        <v>60</v>
      </c>
      <c r="K7" s="59">
        <v>695.36</v>
      </c>
      <c r="L7" s="59">
        <v>762.07</v>
      </c>
      <c r="M7" s="59">
        <f>L7-K7</f>
        <v>66.71000000000004</v>
      </c>
      <c r="N7" s="59">
        <f>M7/K7*100</f>
        <v>9.5935918085596</v>
      </c>
      <c r="O7" s="116">
        <v>24</v>
      </c>
      <c r="Q7" s="117" t="s">
        <v>191</v>
      </c>
      <c r="R7" s="142">
        <v>265.00588418697663</v>
      </c>
      <c r="S7" s="119" t="s">
        <v>271</v>
      </c>
    </row>
    <row r="8" spans="1:19" ht="18" customHeight="1" thickBot="1" thickTop="1">
      <c r="A8" s="20">
        <v>2</v>
      </c>
      <c r="B8" s="88" t="s">
        <v>160</v>
      </c>
      <c r="C8" s="20">
        <v>346.32</v>
      </c>
      <c r="D8" s="59">
        <v>206.56</v>
      </c>
      <c r="E8" s="59">
        <f aca="true" t="shared" si="0" ref="E8:E69">D8/C8*100</f>
        <v>59.64425964425965</v>
      </c>
      <c r="F8" s="116">
        <v>54</v>
      </c>
      <c r="G8" s="59">
        <v>322.08</v>
      </c>
      <c r="H8" s="59">
        <v>206.56</v>
      </c>
      <c r="I8" s="59">
        <f aca="true" t="shared" si="1" ref="I8:I69">H8/G8*100</f>
        <v>64.13313462493791</v>
      </c>
      <c r="J8" s="116">
        <v>62</v>
      </c>
      <c r="K8" s="59">
        <v>217.04</v>
      </c>
      <c r="L8" s="59">
        <v>206.56</v>
      </c>
      <c r="M8" s="59">
        <f aca="true" t="shared" si="2" ref="M8:M69">L8-K8</f>
        <v>-10.47999999999999</v>
      </c>
      <c r="N8" s="59">
        <f aca="true" t="shared" si="3" ref="N8:N69">M8/K8*100</f>
        <v>-4.82860302248433</v>
      </c>
      <c r="O8" s="116">
        <v>47</v>
      </c>
      <c r="Q8" s="117" t="s">
        <v>205</v>
      </c>
      <c r="R8" s="142">
        <v>259.0375585672915</v>
      </c>
      <c r="S8" s="119" t="s">
        <v>272</v>
      </c>
    </row>
    <row r="9" spans="1:19" ht="18" customHeight="1" thickBot="1" thickTop="1">
      <c r="A9" s="20">
        <v>3</v>
      </c>
      <c r="B9" s="88" t="s">
        <v>161</v>
      </c>
      <c r="C9" s="20">
        <v>225.3</v>
      </c>
      <c r="D9" s="59">
        <v>141.25</v>
      </c>
      <c r="E9" s="59">
        <f t="shared" si="0"/>
        <v>62.6941855304039</v>
      </c>
      <c r="F9" s="116">
        <v>53</v>
      </c>
      <c r="G9" s="59">
        <v>152.5</v>
      </c>
      <c r="H9" s="59">
        <v>141.25</v>
      </c>
      <c r="I9" s="59">
        <f t="shared" si="1"/>
        <v>92.62295081967213</v>
      </c>
      <c r="J9" s="116">
        <v>52</v>
      </c>
      <c r="K9" s="59">
        <v>128</v>
      </c>
      <c r="L9" s="59">
        <v>141.25</v>
      </c>
      <c r="M9" s="59">
        <f t="shared" si="2"/>
        <v>13.25</v>
      </c>
      <c r="N9" s="59">
        <f t="shared" si="3"/>
        <v>10.3515625</v>
      </c>
      <c r="O9" s="116">
        <v>23</v>
      </c>
      <c r="Q9" s="117" t="s">
        <v>208</v>
      </c>
      <c r="R9" s="142">
        <v>241.23554212795275</v>
      </c>
      <c r="S9" s="119" t="s">
        <v>273</v>
      </c>
    </row>
    <row r="10" spans="1:19" ht="18" customHeight="1" thickBot="1" thickTop="1">
      <c r="A10" s="20">
        <v>4</v>
      </c>
      <c r="B10" s="88" t="s">
        <v>162</v>
      </c>
      <c r="C10" s="20">
        <v>305.32</v>
      </c>
      <c r="D10" s="59">
        <v>223.77</v>
      </c>
      <c r="E10" s="59">
        <f t="shared" si="0"/>
        <v>73.2903183545133</v>
      </c>
      <c r="F10" s="116">
        <v>41</v>
      </c>
      <c r="G10" s="59">
        <v>282.11</v>
      </c>
      <c r="H10" s="59">
        <v>223.77</v>
      </c>
      <c r="I10" s="59">
        <f t="shared" si="1"/>
        <v>79.32012335613767</v>
      </c>
      <c r="J10" s="116">
        <v>58</v>
      </c>
      <c r="K10" s="59">
        <v>180.27</v>
      </c>
      <c r="L10" s="59">
        <v>223.77</v>
      </c>
      <c r="M10" s="59">
        <f t="shared" si="2"/>
        <v>43.5</v>
      </c>
      <c r="N10" s="59">
        <f t="shared" si="3"/>
        <v>24.130470960226326</v>
      </c>
      <c r="O10" s="116">
        <v>10</v>
      </c>
      <c r="Q10" s="117" t="s">
        <v>178</v>
      </c>
      <c r="R10" s="142">
        <v>227.8409487310596</v>
      </c>
      <c r="S10" s="119" t="s">
        <v>274</v>
      </c>
    </row>
    <row r="11" spans="1:19" ht="18" customHeight="1" thickBot="1" thickTop="1">
      <c r="A11" s="20">
        <v>5</v>
      </c>
      <c r="B11" s="88" t="s">
        <v>164</v>
      </c>
      <c r="C11" s="20">
        <v>524.99</v>
      </c>
      <c r="D11" s="59">
        <v>398.12</v>
      </c>
      <c r="E11" s="59">
        <f t="shared" si="0"/>
        <v>75.8338254061982</v>
      </c>
      <c r="F11" s="116">
        <v>35</v>
      </c>
      <c r="G11" s="59">
        <v>423.48</v>
      </c>
      <c r="H11" s="59">
        <v>398.12</v>
      </c>
      <c r="I11" s="59">
        <f t="shared" si="1"/>
        <v>94.01152356663832</v>
      </c>
      <c r="J11" s="116">
        <v>50</v>
      </c>
      <c r="K11" s="59">
        <v>395.96</v>
      </c>
      <c r="L11" s="59">
        <v>398.12</v>
      </c>
      <c r="M11" s="59">
        <f t="shared" si="2"/>
        <v>2.160000000000025</v>
      </c>
      <c r="N11" s="59">
        <f t="shared" si="3"/>
        <v>0.5455096474391417</v>
      </c>
      <c r="O11" s="116">
        <v>43</v>
      </c>
      <c r="Q11" s="117" t="s">
        <v>217</v>
      </c>
      <c r="R11" s="142">
        <v>223.32760962619736</v>
      </c>
      <c r="S11" s="119" t="s">
        <v>275</v>
      </c>
    </row>
    <row r="12" spans="1:19" ht="18" customHeight="1" thickBot="1" thickTop="1">
      <c r="A12" s="20">
        <v>6</v>
      </c>
      <c r="B12" s="88" t="s">
        <v>165</v>
      </c>
      <c r="C12" s="20">
        <v>278.51</v>
      </c>
      <c r="D12" s="59">
        <v>258.67</v>
      </c>
      <c r="E12" s="59">
        <f t="shared" si="0"/>
        <v>92.87637786794012</v>
      </c>
      <c r="F12" s="116">
        <v>9</v>
      </c>
      <c r="G12" s="59">
        <v>264.21</v>
      </c>
      <c r="H12" s="59">
        <v>258.67</v>
      </c>
      <c r="I12" s="59">
        <f t="shared" si="1"/>
        <v>97.90318307406987</v>
      </c>
      <c r="J12" s="116">
        <v>37</v>
      </c>
      <c r="K12" s="59">
        <v>238.94</v>
      </c>
      <c r="L12" s="59">
        <v>258.67</v>
      </c>
      <c r="M12" s="59">
        <f t="shared" si="2"/>
        <v>19.730000000000018</v>
      </c>
      <c r="N12" s="59">
        <f t="shared" si="3"/>
        <v>8.257303088641507</v>
      </c>
      <c r="O12" s="116">
        <v>26</v>
      </c>
      <c r="Q12" s="117" t="s">
        <v>215</v>
      </c>
      <c r="R12" s="142">
        <v>220.7841494854962</v>
      </c>
      <c r="S12" s="119" t="s">
        <v>276</v>
      </c>
    </row>
    <row r="13" spans="1:19" ht="18" customHeight="1" thickBot="1" thickTop="1">
      <c r="A13" s="20">
        <v>7</v>
      </c>
      <c r="B13" s="88" t="s">
        <v>166</v>
      </c>
      <c r="C13" s="20">
        <v>225.76</v>
      </c>
      <c r="D13" s="59">
        <v>159.94</v>
      </c>
      <c r="E13" s="59">
        <f t="shared" si="0"/>
        <v>70.84514528703048</v>
      </c>
      <c r="F13" s="116">
        <v>44</v>
      </c>
      <c r="G13" s="59">
        <v>164.55</v>
      </c>
      <c r="H13" s="59">
        <v>159.94</v>
      </c>
      <c r="I13" s="59">
        <f t="shared" si="1"/>
        <v>97.19841993315102</v>
      </c>
      <c r="J13" s="116">
        <v>41</v>
      </c>
      <c r="K13" s="59">
        <v>152.46</v>
      </c>
      <c r="L13" s="59">
        <v>159.94</v>
      </c>
      <c r="M13" s="59">
        <f t="shared" si="2"/>
        <v>7.47999999999999</v>
      </c>
      <c r="N13" s="59">
        <f t="shared" si="3"/>
        <v>4.906204906204899</v>
      </c>
      <c r="O13" s="116">
        <v>35</v>
      </c>
      <c r="Q13" s="117" t="s">
        <v>204</v>
      </c>
      <c r="R13" s="142">
        <v>219.71380377227678</v>
      </c>
      <c r="S13" s="119" t="s">
        <v>277</v>
      </c>
    </row>
    <row r="14" spans="1:19" ht="18" customHeight="1" thickBot="1" thickTop="1">
      <c r="A14" s="20">
        <v>8</v>
      </c>
      <c r="B14" s="88" t="s">
        <v>167</v>
      </c>
      <c r="C14" s="20">
        <v>141.48</v>
      </c>
      <c r="D14" s="59">
        <v>105.59</v>
      </c>
      <c r="E14" s="59">
        <f t="shared" si="0"/>
        <v>74.63245688436528</v>
      </c>
      <c r="F14" s="116">
        <v>38</v>
      </c>
      <c r="G14" s="59">
        <v>127.79</v>
      </c>
      <c r="H14" s="59">
        <v>105.59</v>
      </c>
      <c r="I14" s="59">
        <f t="shared" si="1"/>
        <v>82.62774865012912</v>
      </c>
      <c r="J14" s="116">
        <v>57</v>
      </c>
      <c r="K14" s="59">
        <v>101.05</v>
      </c>
      <c r="L14" s="59">
        <v>105.59</v>
      </c>
      <c r="M14" s="59">
        <f t="shared" si="2"/>
        <v>4.540000000000006</v>
      </c>
      <c r="N14" s="59">
        <f t="shared" si="3"/>
        <v>4.492825333993079</v>
      </c>
      <c r="O14" s="116">
        <v>36</v>
      </c>
      <c r="Q14" s="117" t="s">
        <v>190</v>
      </c>
      <c r="R14" s="142">
        <v>218.35951258619355</v>
      </c>
      <c r="S14" s="119" t="s">
        <v>278</v>
      </c>
    </row>
    <row r="15" spans="1:19" ht="18" customHeight="1" thickBot="1" thickTop="1">
      <c r="A15" s="20">
        <v>9</v>
      </c>
      <c r="B15" s="88" t="s">
        <v>168</v>
      </c>
      <c r="C15" s="20">
        <v>97.48</v>
      </c>
      <c r="D15" s="59">
        <v>88.98</v>
      </c>
      <c r="E15" s="59">
        <f t="shared" si="0"/>
        <v>91.28026261797292</v>
      </c>
      <c r="F15" s="116">
        <v>11</v>
      </c>
      <c r="G15" s="59">
        <v>86.66</v>
      </c>
      <c r="H15" s="59">
        <v>88.98</v>
      </c>
      <c r="I15" s="59">
        <f t="shared" si="1"/>
        <v>102.67712900992385</v>
      </c>
      <c r="J15" s="116">
        <v>17</v>
      </c>
      <c r="K15" s="59">
        <v>94.62</v>
      </c>
      <c r="L15" s="59">
        <v>88.98</v>
      </c>
      <c r="M15" s="59">
        <f t="shared" si="2"/>
        <v>-5.640000000000001</v>
      </c>
      <c r="N15" s="59">
        <f t="shared" si="3"/>
        <v>-5.960684844641725</v>
      </c>
      <c r="O15" s="116">
        <v>48</v>
      </c>
      <c r="Q15" s="117" t="s">
        <v>214</v>
      </c>
      <c r="R15" s="142">
        <v>214.7120801577106</v>
      </c>
      <c r="S15" s="119" t="s">
        <v>279</v>
      </c>
    </row>
    <row r="16" spans="1:19" ht="18" customHeight="1" thickBot="1" thickTop="1">
      <c r="A16" s="20">
        <v>10</v>
      </c>
      <c r="B16" s="88" t="s">
        <v>170</v>
      </c>
      <c r="C16" s="20">
        <v>454.16</v>
      </c>
      <c r="D16" s="59">
        <v>329.72</v>
      </c>
      <c r="E16" s="59">
        <f t="shared" si="0"/>
        <v>72.59996477012507</v>
      </c>
      <c r="F16" s="116">
        <v>43</v>
      </c>
      <c r="G16" s="59">
        <v>322.39</v>
      </c>
      <c r="H16" s="59">
        <v>329.72</v>
      </c>
      <c r="I16" s="59">
        <f t="shared" si="1"/>
        <v>102.27364372344057</v>
      </c>
      <c r="J16" s="116">
        <v>20</v>
      </c>
      <c r="K16" s="59">
        <v>427.41</v>
      </c>
      <c r="L16" s="59">
        <v>329.72</v>
      </c>
      <c r="M16" s="59">
        <f t="shared" si="2"/>
        <v>-97.69</v>
      </c>
      <c r="N16" s="59">
        <f t="shared" si="3"/>
        <v>-22.85627383542734</v>
      </c>
      <c r="O16" s="116">
        <v>59</v>
      </c>
      <c r="Q16" s="117" t="s">
        <v>212</v>
      </c>
      <c r="R16" s="142">
        <v>214.38234711766097</v>
      </c>
      <c r="S16" s="119" t="s">
        <v>280</v>
      </c>
    </row>
    <row r="17" spans="1:19" ht="18" customHeight="1" thickBot="1" thickTop="1">
      <c r="A17" s="20">
        <v>11</v>
      </c>
      <c r="B17" s="88" t="s">
        <v>171</v>
      </c>
      <c r="C17" s="20">
        <v>230.92</v>
      </c>
      <c r="D17" s="59">
        <v>204.61</v>
      </c>
      <c r="E17" s="59">
        <f t="shared" si="0"/>
        <v>88.60644379005717</v>
      </c>
      <c r="F17" s="116">
        <v>15</v>
      </c>
      <c r="G17" s="59">
        <v>201.42</v>
      </c>
      <c r="H17" s="59">
        <v>204.61</v>
      </c>
      <c r="I17" s="59">
        <f t="shared" si="1"/>
        <v>101.58375533710655</v>
      </c>
      <c r="J17" s="116">
        <v>23</v>
      </c>
      <c r="K17" s="59">
        <v>173.02</v>
      </c>
      <c r="L17" s="59">
        <v>204.61</v>
      </c>
      <c r="M17" s="59">
        <f t="shared" si="2"/>
        <v>31.590000000000003</v>
      </c>
      <c r="N17" s="59">
        <f t="shared" si="3"/>
        <v>18.258004854930064</v>
      </c>
      <c r="O17" s="116">
        <v>15</v>
      </c>
      <c r="Q17" s="117" t="s">
        <v>219</v>
      </c>
      <c r="R17" s="142">
        <v>213.55481218881604</v>
      </c>
      <c r="S17" s="119" t="s">
        <v>281</v>
      </c>
    </row>
    <row r="18" spans="1:19" ht="18" customHeight="1" thickBot="1" thickTop="1">
      <c r="A18" s="20">
        <v>12</v>
      </c>
      <c r="B18" s="88" t="s">
        <v>172</v>
      </c>
      <c r="C18" s="20">
        <v>220.58</v>
      </c>
      <c r="D18" s="59">
        <v>154.57</v>
      </c>
      <c r="E18" s="59">
        <f t="shared" si="0"/>
        <v>70.07434944237917</v>
      </c>
      <c r="F18" s="116">
        <v>45</v>
      </c>
      <c r="G18" s="59">
        <v>155.51</v>
      </c>
      <c r="H18" s="59">
        <v>154.57</v>
      </c>
      <c r="I18" s="59">
        <f t="shared" si="1"/>
        <v>99.3955372644846</v>
      </c>
      <c r="J18" s="116">
        <v>30</v>
      </c>
      <c r="K18" s="59">
        <v>218.53</v>
      </c>
      <c r="L18" s="59">
        <v>154.57</v>
      </c>
      <c r="M18" s="59">
        <f t="shared" si="2"/>
        <v>-63.96000000000001</v>
      </c>
      <c r="N18" s="59">
        <f t="shared" si="3"/>
        <v>-29.268292682926834</v>
      </c>
      <c r="O18" s="116">
        <v>62</v>
      </c>
      <c r="Q18" s="117" t="s">
        <v>209</v>
      </c>
      <c r="R18" s="142">
        <v>213.20915853075203</v>
      </c>
      <c r="S18" s="119" t="s">
        <v>282</v>
      </c>
    </row>
    <row r="19" spans="1:19" ht="18" customHeight="1" thickBot="1" thickTop="1">
      <c r="A19" s="20">
        <v>13</v>
      </c>
      <c r="B19" s="88" t="s">
        <v>173</v>
      </c>
      <c r="C19" s="20">
        <v>256.77</v>
      </c>
      <c r="D19" s="59">
        <v>222.04</v>
      </c>
      <c r="E19" s="59">
        <f t="shared" si="0"/>
        <v>86.47427658994431</v>
      </c>
      <c r="F19" s="116">
        <v>20</v>
      </c>
      <c r="G19" s="59">
        <v>241.77</v>
      </c>
      <c r="H19" s="59">
        <v>222.04</v>
      </c>
      <c r="I19" s="59">
        <f t="shared" si="1"/>
        <v>91.83935144972494</v>
      </c>
      <c r="J19" s="116">
        <v>54</v>
      </c>
      <c r="K19" s="59">
        <v>278.18</v>
      </c>
      <c r="L19" s="59">
        <v>222.04</v>
      </c>
      <c r="M19" s="59">
        <f t="shared" si="2"/>
        <v>-56.140000000000015</v>
      </c>
      <c r="N19" s="59">
        <f t="shared" si="3"/>
        <v>-20.18117765475592</v>
      </c>
      <c r="O19" s="116">
        <v>57</v>
      </c>
      <c r="Q19" s="117" t="s">
        <v>222</v>
      </c>
      <c r="R19" s="142">
        <v>211.25157919497002</v>
      </c>
      <c r="S19" s="119" t="s">
        <v>283</v>
      </c>
    </row>
    <row r="20" spans="1:19" ht="18" customHeight="1" thickBot="1" thickTop="1">
      <c r="A20" s="20">
        <v>14</v>
      </c>
      <c r="B20" s="88" t="s">
        <v>174</v>
      </c>
      <c r="C20" s="20">
        <v>60.08</v>
      </c>
      <c r="D20" s="59">
        <v>54.85</v>
      </c>
      <c r="E20" s="59">
        <f t="shared" si="0"/>
        <v>91.29494007989348</v>
      </c>
      <c r="F20" s="116">
        <v>10</v>
      </c>
      <c r="G20" s="59">
        <v>52.75</v>
      </c>
      <c r="H20" s="59">
        <v>54.85</v>
      </c>
      <c r="I20" s="59">
        <f t="shared" si="1"/>
        <v>103.98104265402843</v>
      </c>
      <c r="J20" s="116">
        <v>12</v>
      </c>
      <c r="K20" s="59">
        <v>63</v>
      </c>
      <c r="L20" s="59">
        <v>54.85</v>
      </c>
      <c r="M20" s="59">
        <f t="shared" si="2"/>
        <v>-8.149999999999999</v>
      </c>
      <c r="N20" s="59">
        <f t="shared" si="3"/>
        <v>-12.936507936507935</v>
      </c>
      <c r="O20" s="116">
        <v>52</v>
      </c>
      <c r="Q20" s="117" t="s">
        <v>184</v>
      </c>
      <c r="R20" s="142">
        <v>209.19406532701913</v>
      </c>
      <c r="S20" s="119" t="s">
        <v>284</v>
      </c>
    </row>
    <row r="21" spans="1:19" ht="18" customHeight="1" thickBot="1" thickTop="1">
      <c r="A21" s="20">
        <v>15</v>
      </c>
      <c r="B21" s="88" t="s">
        <v>176</v>
      </c>
      <c r="C21" s="20">
        <v>105.1</v>
      </c>
      <c r="D21" s="20">
        <v>79.57</v>
      </c>
      <c r="E21" s="59">
        <f t="shared" si="0"/>
        <v>75.70884871550903</v>
      </c>
      <c r="F21" s="136">
        <v>36</v>
      </c>
      <c r="G21" s="20">
        <v>93.46</v>
      </c>
      <c r="H21" s="20">
        <v>79.57</v>
      </c>
      <c r="I21" s="59">
        <f t="shared" si="1"/>
        <v>85.1380269634068</v>
      </c>
      <c r="J21" s="136">
        <v>56</v>
      </c>
      <c r="K21" s="20">
        <v>67.14</v>
      </c>
      <c r="L21" s="20">
        <v>79.57</v>
      </c>
      <c r="M21" s="59">
        <f t="shared" si="2"/>
        <v>12.429999999999993</v>
      </c>
      <c r="N21" s="59">
        <f t="shared" si="3"/>
        <v>18.513553768245448</v>
      </c>
      <c r="O21" s="136">
        <v>14</v>
      </c>
      <c r="Q21" s="117" t="s">
        <v>171</v>
      </c>
      <c r="R21" s="142">
        <v>208.4482039820938</v>
      </c>
      <c r="S21" s="119" t="s">
        <v>294</v>
      </c>
    </row>
    <row r="22" spans="1:19" s="67" customFormat="1" ht="18" customHeight="1" thickBot="1" thickTop="1">
      <c r="A22" s="24">
        <v>16</v>
      </c>
      <c r="B22" s="88" t="s">
        <v>177</v>
      </c>
      <c r="C22" s="24">
        <v>126.46</v>
      </c>
      <c r="D22" s="24">
        <v>113.94</v>
      </c>
      <c r="E22" s="58">
        <f t="shared" si="0"/>
        <v>90.09963624861616</v>
      </c>
      <c r="F22" s="137">
        <v>13</v>
      </c>
      <c r="G22" s="24">
        <v>119.95</v>
      </c>
      <c r="H22" s="24">
        <v>113.94</v>
      </c>
      <c r="I22" s="58">
        <f t="shared" si="1"/>
        <v>94.98957899124635</v>
      </c>
      <c r="J22" s="137">
        <v>49</v>
      </c>
      <c r="K22" s="24">
        <v>105.99</v>
      </c>
      <c r="L22" s="24">
        <v>113.94</v>
      </c>
      <c r="M22" s="58">
        <f t="shared" si="2"/>
        <v>7.950000000000003</v>
      </c>
      <c r="N22" s="58">
        <f t="shared" si="3"/>
        <v>7.5007076139258455</v>
      </c>
      <c r="O22" s="137">
        <v>29</v>
      </c>
      <c r="Q22" s="117" t="s">
        <v>218</v>
      </c>
      <c r="R22" s="142">
        <v>208.1447039668789</v>
      </c>
      <c r="S22" s="119" t="s">
        <v>295</v>
      </c>
    </row>
    <row r="23" spans="1:19" ht="18" customHeight="1" thickBot="1" thickTop="1">
      <c r="A23" s="20">
        <v>17</v>
      </c>
      <c r="B23" s="88" t="s">
        <v>178</v>
      </c>
      <c r="C23" s="20">
        <v>104.32</v>
      </c>
      <c r="D23" s="20">
        <v>90.7</v>
      </c>
      <c r="E23" s="59">
        <f t="shared" si="0"/>
        <v>86.94401840490798</v>
      </c>
      <c r="F23" s="137">
        <v>19</v>
      </c>
      <c r="G23" s="20">
        <v>90.43</v>
      </c>
      <c r="H23" s="20">
        <v>90.7</v>
      </c>
      <c r="I23" s="59">
        <f t="shared" si="1"/>
        <v>100.29857348225147</v>
      </c>
      <c r="J23" s="137">
        <v>27</v>
      </c>
      <c r="K23" s="20">
        <v>64.51</v>
      </c>
      <c r="L23" s="20">
        <v>90.7</v>
      </c>
      <c r="M23" s="59">
        <f t="shared" si="2"/>
        <v>26.189999999999998</v>
      </c>
      <c r="N23" s="59">
        <f t="shared" si="3"/>
        <v>40.59835684390016</v>
      </c>
      <c r="O23" s="137">
        <v>6</v>
      </c>
      <c r="Q23" s="117" t="s">
        <v>225</v>
      </c>
      <c r="R23" s="142">
        <v>207.25167551786382</v>
      </c>
      <c r="S23" s="119" t="s">
        <v>296</v>
      </c>
    </row>
    <row r="24" spans="1:19" ht="18" customHeight="1" thickBot="1" thickTop="1">
      <c r="A24" s="20">
        <v>18</v>
      </c>
      <c r="B24" s="88" t="s">
        <v>179</v>
      </c>
      <c r="C24" s="20">
        <v>80.99</v>
      </c>
      <c r="D24" s="20">
        <v>46.08</v>
      </c>
      <c r="E24" s="59">
        <f t="shared" si="0"/>
        <v>56.895913075688355</v>
      </c>
      <c r="F24" s="137">
        <v>56</v>
      </c>
      <c r="G24" s="20">
        <v>44.11</v>
      </c>
      <c r="H24" s="20">
        <v>46.08</v>
      </c>
      <c r="I24" s="59">
        <f t="shared" si="1"/>
        <v>104.46610745862617</v>
      </c>
      <c r="J24" s="137">
        <v>8</v>
      </c>
      <c r="K24" s="20">
        <v>48.05</v>
      </c>
      <c r="L24" s="20">
        <v>46.08</v>
      </c>
      <c r="M24" s="59">
        <f t="shared" si="2"/>
        <v>-1.9699999999999989</v>
      </c>
      <c r="N24" s="59">
        <f t="shared" si="3"/>
        <v>-4.0998959417273655</v>
      </c>
      <c r="O24" s="137">
        <v>46</v>
      </c>
      <c r="Q24" s="117" t="s">
        <v>211</v>
      </c>
      <c r="R24" s="142">
        <v>199.31229338290518</v>
      </c>
      <c r="S24" s="119" t="s">
        <v>297</v>
      </c>
    </row>
    <row r="25" spans="1:19" ht="18" customHeight="1" thickBot="1" thickTop="1">
      <c r="A25" s="20">
        <v>19</v>
      </c>
      <c r="B25" s="88" t="s">
        <v>180</v>
      </c>
      <c r="C25" s="20">
        <v>142.06</v>
      </c>
      <c r="D25" s="20">
        <v>94.86</v>
      </c>
      <c r="E25" s="59">
        <f t="shared" si="0"/>
        <v>66.77460228072644</v>
      </c>
      <c r="F25" s="137">
        <v>47</v>
      </c>
      <c r="G25" s="20">
        <v>122.19</v>
      </c>
      <c r="H25" s="20">
        <v>94.86</v>
      </c>
      <c r="I25" s="59">
        <f t="shared" si="1"/>
        <v>77.63319420574516</v>
      </c>
      <c r="J25" s="137">
        <v>59</v>
      </c>
      <c r="K25" s="20">
        <v>104.37</v>
      </c>
      <c r="L25" s="20">
        <v>94.86</v>
      </c>
      <c r="M25" s="59">
        <f t="shared" si="2"/>
        <v>-9.510000000000005</v>
      </c>
      <c r="N25" s="59">
        <f t="shared" si="3"/>
        <v>-9.111813739580343</v>
      </c>
      <c r="O25" s="137">
        <v>51</v>
      </c>
      <c r="Q25" s="117" t="s">
        <v>216</v>
      </c>
      <c r="R25" s="142">
        <v>199.1004296328731</v>
      </c>
      <c r="S25" s="119" t="s">
        <v>298</v>
      </c>
    </row>
    <row r="26" spans="1:19" ht="18" customHeight="1" thickBot="1" thickTop="1">
      <c r="A26" s="20">
        <v>20</v>
      </c>
      <c r="B26" s="88" t="s">
        <v>181</v>
      </c>
      <c r="C26" s="20">
        <v>205.51</v>
      </c>
      <c r="D26" s="20">
        <v>104.06</v>
      </c>
      <c r="E26" s="59">
        <f t="shared" si="0"/>
        <v>50.635005595834755</v>
      </c>
      <c r="F26" s="137">
        <v>58</v>
      </c>
      <c r="G26" s="20">
        <v>139.27</v>
      </c>
      <c r="H26" s="20">
        <v>104.06</v>
      </c>
      <c r="I26" s="59">
        <f t="shared" si="1"/>
        <v>74.71817333237595</v>
      </c>
      <c r="J26" s="137">
        <v>61</v>
      </c>
      <c r="K26" s="20">
        <v>87.12</v>
      </c>
      <c r="L26" s="20">
        <v>104.06</v>
      </c>
      <c r="M26" s="59">
        <f t="shared" si="2"/>
        <v>16.939999999999998</v>
      </c>
      <c r="N26" s="59">
        <f t="shared" si="3"/>
        <v>19.444444444444443</v>
      </c>
      <c r="O26" s="137">
        <v>13</v>
      </c>
      <c r="Q26" s="117" t="s">
        <v>165</v>
      </c>
      <c r="R26" s="142">
        <v>199.0368640306515</v>
      </c>
      <c r="S26" s="119" t="s">
        <v>299</v>
      </c>
    </row>
    <row r="27" spans="1:19" ht="18" customHeight="1" thickBot="1" thickTop="1">
      <c r="A27" s="20">
        <v>21</v>
      </c>
      <c r="B27" s="88" t="s">
        <v>183</v>
      </c>
      <c r="C27" s="20">
        <v>134.29</v>
      </c>
      <c r="D27" s="20">
        <v>103.37</v>
      </c>
      <c r="E27" s="59">
        <f t="shared" si="0"/>
        <v>76.97520291905579</v>
      </c>
      <c r="F27" s="137">
        <v>34</v>
      </c>
      <c r="G27" s="20">
        <v>99.61</v>
      </c>
      <c r="H27" s="20">
        <v>103.37</v>
      </c>
      <c r="I27" s="59">
        <f t="shared" si="1"/>
        <v>103.7747214135127</v>
      </c>
      <c r="J27" s="137">
        <v>15</v>
      </c>
      <c r="K27" s="20">
        <v>100.89</v>
      </c>
      <c r="L27" s="20">
        <v>103.37</v>
      </c>
      <c r="M27" s="59">
        <f t="shared" si="2"/>
        <v>2.480000000000004</v>
      </c>
      <c r="N27" s="59">
        <f t="shared" si="3"/>
        <v>2.4581227078996966</v>
      </c>
      <c r="O27" s="137">
        <v>40</v>
      </c>
      <c r="Q27" s="117" t="s">
        <v>177</v>
      </c>
      <c r="R27" s="142">
        <v>192.58992285378835</v>
      </c>
      <c r="S27" s="119" t="s">
        <v>300</v>
      </c>
    </row>
    <row r="28" spans="1:19" ht="18" customHeight="1" thickBot="1" thickTop="1">
      <c r="A28" s="20">
        <v>22</v>
      </c>
      <c r="B28" s="88" t="s">
        <v>184</v>
      </c>
      <c r="C28" s="20">
        <v>157.66</v>
      </c>
      <c r="D28" s="20">
        <v>137.84</v>
      </c>
      <c r="E28" s="59">
        <f t="shared" si="0"/>
        <v>87.42864391729037</v>
      </c>
      <c r="F28" s="137">
        <v>17</v>
      </c>
      <c r="G28" s="20">
        <v>127.91</v>
      </c>
      <c r="H28" s="20">
        <v>137.84</v>
      </c>
      <c r="I28" s="59">
        <f t="shared" si="1"/>
        <v>107.763271049957</v>
      </c>
      <c r="J28" s="137">
        <v>3</v>
      </c>
      <c r="K28" s="20">
        <v>120.91</v>
      </c>
      <c r="L28" s="20">
        <v>137.84</v>
      </c>
      <c r="M28" s="59">
        <f t="shared" si="2"/>
        <v>16.930000000000007</v>
      </c>
      <c r="N28" s="59">
        <f t="shared" si="3"/>
        <v>14.002150359771736</v>
      </c>
      <c r="O28" s="137">
        <v>18</v>
      </c>
      <c r="Q28" s="117" t="s">
        <v>223</v>
      </c>
      <c r="R28" s="142">
        <v>191.2437067654325</v>
      </c>
      <c r="S28" s="119" t="s">
        <v>301</v>
      </c>
    </row>
    <row r="29" spans="1:19" ht="18" customHeight="1" thickBot="1" thickTop="1">
      <c r="A29" s="20">
        <v>23</v>
      </c>
      <c r="B29" s="88" t="s">
        <v>185</v>
      </c>
      <c r="C29" s="20">
        <v>443.74</v>
      </c>
      <c r="D29" s="20">
        <v>306.03</v>
      </c>
      <c r="E29" s="59">
        <f t="shared" si="0"/>
        <v>68.96606120701311</v>
      </c>
      <c r="F29" s="137">
        <v>46</v>
      </c>
      <c r="G29" s="20">
        <v>320.12</v>
      </c>
      <c r="H29" s="20">
        <v>306.03</v>
      </c>
      <c r="I29" s="59">
        <f t="shared" si="1"/>
        <v>95.59852555291765</v>
      </c>
      <c r="J29" s="137">
        <v>48</v>
      </c>
      <c r="K29" s="20">
        <v>264.61</v>
      </c>
      <c r="L29" s="20">
        <v>306.03</v>
      </c>
      <c r="M29" s="59">
        <f t="shared" si="2"/>
        <v>41.41999999999996</v>
      </c>
      <c r="N29" s="59">
        <f t="shared" si="3"/>
        <v>15.653225501681703</v>
      </c>
      <c r="O29" s="137">
        <v>17</v>
      </c>
      <c r="Q29" s="117" t="s">
        <v>202</v>
      </c>
      <c r="R29" s="142">
        <v>188.08898789743097</v>
      </c>
      <c r="S29" s="119" t="s">
        <v>302</v>
      </c>
    </row>
    <row r="30" spans="1:19" ht="18" customHeight="1" thickBot="1" thickTop="1">
      <c r="A30" s="20">
        <v>24</v>
      </c>
      <c r="B30" s="88" t="s">
        <v>186</v>
      </c>
      <c r="C30" s="20">
        <v>237.9</v>
      </c>
      <c r="D30" s="20">
        <v>200.15</v>
      </c>
      <c r="E30" s="59">
        <f t="shared" si="0"/>
        <v>84.13198823034888</v>
      </c>
      <c r="F30" s="137">
        <v>26</v>
      </c>
      <c r="G30" s="20">
        <v>209.13</v>
      </c>
      <c r="H30" s="20">
        <v>200.15</v>
      </c>
      <c r="I30" s="59">
        <f t="shared" si="1"/>
        <v>95.70602017883614</v>
      </c>
      <c r="J30" s="137">
        <v>47</v>
      </c>
      <c r="K30" s="20">
        <v>193.21</v>
      </c>
      <c r="L30" s="20">
        <v>200.15</v>
      </c>
      <c r="M30" s="59">
        <f t="shared" si="2"/>
        <v>6.939999999999998</v>
      </c>
      <c r="N30" s="59">
        <f t="shared" si="3"/>
        <v>3.5919465866155984</v>
      </c>
      <c r="O30" s="137">
        <v>39</v>
      </c>
      <c r="Q30" s="117" t="s">
        <v>168</v>
      </c>
      <c r="R30" s="142">
        <v>187.99670678325504</v>
      </c>
      <c r="S30" s="119" t="s">
        <v>303</v>
      </c>
    </row>
    <row r="31" spans="1:19" ht="18" customHeight="1" thickBot="1" thickTop="1">
      <c r="A31" s="20">
        <v>25</v>
      </c>
      <c r="B31" s="88" t="s">
        <v>187</v>
      </c>
      <c r="C31" s="20">
        <v>199.11</v>
      </c>
      <c r="D31" s="20">
        <v>131.44</v>
      </c>
      <c r="E31" s="59">
        <f t="shared" si="0"/>
        <v>66.0137612375069</v>
      </c>
      <c r="F31" s="137">
        <v>48</v>
      </c>
      <c r="G31" s="20">
        <v>126.21</v>
      </c>
      <c r="H31" s="20">
        <v>131.44</v>
      </c>
      <c r="I31" s="59">
        <f t="shared" si="1"/>
        <v>104.14388717217335</v>
      </c>
      <c r="J31" s="137">
        <v>10</v>
      </c>
      <c r="K31" s="20">
        <v>124.07</v>
      </c>
      <c r="L31" s="20">
        <v>131.44</v>
      </c>
      <c r="M31" s="59">
        <f t="shared" si="2"/>
        <v>7.3700000000000045</v>
      </c>
      <c r="N31" s="59">
        <f t="shared" si="3"/>
        <v>5.940195051180789</v>
      </c>
      <c r="O31" s="137">
        <v>34</v>
      </c>
      <c r="Q31" s="117" t="s">
        <v>233</v>
      </c>
      <c r="R31" s="142">
        <v>183.88320766436507</v>
      </c>
      <c r="S31" s="119" t="s">
        <v>304</v>
      </c>
    </row>
    <row r="32" spans="1:19" ht="18" customHeight="1" thickBot="1" thickTop="1">
      <c r="A32" s="20">
        <v>26</v>
      </c>
      <c r="B32" s="88" t="s">
        <v>189</v>
      </c>
      <c r="C32" s="20">
        <v>218.29</v>
      </c>
      <c r="D32" s="20">
        <v>138.79</v>
      </c>
      <c r="E32" s="59">
        <f t="shared" si="0"/>
        <v>63.580557973338216</v>
      </c>
      <c r="F32" s="137">
        <v>51</v>
      </c>
      <c r="G32" s="20">
        <v>139.05</v>
      </c>
      <c r="H32" s="20">
        <v>138.79</v>
      </c>
      <c r="I32" s="59">
        <f t="shared" si="1"/>
        <v>99.81301690039552</v>
      </c>
      <c r="J32" s="137">
        <v>28</v>
      </c>
      <c r="K32" s="20">
        <v>124.67</v>
      </c>
      <c r="L32" s="20">
        <v>138.79</v>
      </c>
      <c r="M32" s="59">
        <f t="shared" si="2"/>
        <v>14.11999999999999</v>
      </c>
      <c r="N32" s="59">
        <f t="shared" si="3"/>
        <v>11.32590037699526</v>
      </c>
      <c r="O32" s="137">
        <v>21</v>
      </c>
      <c r="Q32" s="117" t="s">
        <v>186</v>
      </c>
      <c r="R32" s="142">
        <v>183.4299549958006</v>
      </c>
      <c r="S32" s="119" t="s">
        <v>305</v>
      </c>
    </row>
    <row r="33" spans="1:19" ht="18" customHeight="1" thickBot="1" thickTop="1">
      <c r="A33" s="20">
        <v>27</v>
      </c>
      <c r="B33" s="88" t="s">
        <v>190</v>
      </c>
      <c r="C33" s="20">
        <v>217.06</v>
      </c>
      <c r="D33" s="20">
        <v>137.54</v>
      </c>
      <c r="E33" s="59">
        <f t="shared" si="0"/>
        <v>63.364968211554405</v>
      </c>
      <c r="F33" s="137">
        <v>52</v>
      </c>
      <c r="G33" s="20">
        <v>143.37</v>
      </c>
      <c r="H33" s="20">
        <v>137.54</v>
      </c>
      <c r="I33" s="59">
        <f t="shared" si="1"/>
        <v>95.93359838180929</v>
      </c>
      <c r="J33" s="137">
        <v>45</v>
      </c>
      <c r="K33" s="20">
        <v>86.47</v>
      </c>
      <c r="L33" s="20">
        <v>137.54</v>
      </c>
      <c r="M33" s="59">
        <f t="shared" si="2"/>
        <v>51.06999999999999</v>
      </c>
      <c r="N33" s="59">
        <f t="shared" si="3"/>
        <v>59.06094599282987</v>
      </c>
      <c r="O33" s="137">
        <v>4</v>
      </c>
      <c r="Q33" s="117" t="s">
        <v>183</v>
      </c>
      <c r="R33" s="142">
        <v>183.20804704046816</v>
      </c>
      <c r="S33" s="119" t="s">
        <v>306</v>
      </c>
    </row>
    <row r="34" spans="1:19" ht="18" customHeight="1" thickBot="1" thickTop="1">
      <c r="A34" s="20">
        <v>28</v>
      </c>
      <c r="B34" s="88" t="s">
        <v>191</v>
      </c>
      <c r="C34" s="20">
        <v>117.37</v>
      </c>
      <c r="D34" s="20">
        <v>99.1</v>
      </c>
      <c r="E34" s="59">
        <f t="shared" si="0"/>
        <v>84.43384169719688</v>
      </c>
      <c r="F34" s="137">
        <v>24</v>
      </c>
      <c r="G34" s="20">
        <v>95.33</v>
      </c>
      <c r="H34" s="20">
        <v>99.1</v>
      </c>
      <c r="I34" s="59">
        <f t="shared" si="1"/>
        <v>103.95468373020036</v>
      </c>
      <c r="J34" s="137">
        <v>13</v>
      </c>
      <c r="K34" s="20">
        <v>56.11</v>
      </c>
      <c r="L34" s="20">
        <v>99.1</v>
      </c>
      <c r="M34" s="59">
        <f t="shared" si="2"/>
        <v>42.989999999999995</v>
      </c>
      <c r="N34" s="59">
        <f t="shared" si="3"/>
        <v>76.61735875957939</v>
      </c>
      <c r="O34" s="137">
        <v>2</v>
      </c>
      <c r="Q34" s="117" t="s">
        <v>174</v>
      </c>
      <c r="R34" s="142">
        <v>182.339474797414</v>
      </c>
      <c r="S34" s="119" t="s">
        <v>307</v>
      </c>
    </row>
    <row r="35" spans="1:19" ht="18" customHeight="1" thickBot="1" thickTop="1">
      <c r="A35" s="20">
        <v>29</v>
      </c>
      <c r="B35" s="88" t="s">
        <v>192</v>
      </c>
      <c r="C35" s="20">
        <v>401.07</v>
      </c>
      <c r="D35" s="20">
        <v>112.76</v>
      </c>
      <c r="E35" s="59">
        <f t="shared" si="0"/>
        <v>28.114792928915154</v>
      </c>
      <c r="F35" s="137">
        <v>61</v>
      </c>
      <c r="G35" s="20">
        <v>391.06</v>
      </c>
      <c r="H35" s="20">
        <v>112.76</v>
      </c>
      <c r="I35" s="59">
        <f t="shared" si="1"/>
        <v>28.834449956528413</v>
      </c>
      <c r="J35" s="137">
        <v>63</v>
      </c>
      <c r="K35" s="20">
        <v>122.88</v>
      </c>
      <c r="L35" s="20">
        <v>112.76</v>
      </c>
      <c r="M35" s="59">
        <f t="shared" si="2"/>
        <v>-10.11999999999999</v>
      </c>
      <c r="N35" s="59">
        <f t="shared" si="3"/>
        <v>-8.235677083333325</v>
      </c>
      <c r="O35" s="137">
        <v>50</v>
      </c>
      <c r="Q35" s="117" t="s">
        <v>194</v>
      </c>
      <c r="R35" s="142">
        <v>181.90357040899042</v>
      </c>
      <c r="S35" s="119" t="s">
        <v>309</v>
      </c>
    </row>
    <row r="36" spans="1:19" ht="18" customHeight="1" thickBot="1" thickTop="1">
      <c r="A36" s="20">
        <v>30</v>
      </c>
      <c r="B36" s="88" t="s">
        <v>194</v>
      </c>
      <c r="C36" s="20">
        <v>139.11</v>
      </c>
      <c r="D36" s="20">
        <v>108.63</v>
      </c>
      <c r="E36" s="59">
        <f t="shared" si="0"/>
        <v>78.08928186327367</v>
      </c>
      <c r="F36" s="137">
        <v>33</v>
      </c>
      <c r="G36" s="20">
        <v>111.2</v>
      </c>
      <c r="H36" s="20">
        <v>108.63</v>
      </c>
      <c r="I36" s="59">
        <f t="shared" si="1"/>
        <v>97.68884892086331</v>
      </c>
      <c r="J36" s="137">
        <v>38</v>
      </c>
      <c r="K36" s="20">
        <v>102.36</v>
      </c>
      <c r="L36" s="20">
        <v>108.63</v>
      </c>
      <c r="M36" s="59">
        <f t="shared" si="2"/>
        <v>6.269999999999996</v>
      </c>
      <c r="N36" s="59">
        <f t="shared" si="3"/>
        <v>6.125439624853454</v>
      </c>
      <c r="O36" s="137">
        <v>32</v>
      </c>
      <c r="Q36" s="117" t="s">
        <v>185</v>
      </c>
      <c r="R36" s="142">
        <v>180.21781226161247</v>
      </c>
      <c r="S36" s="119" t="s">
        <v>310</v>
      </c>
    </row>
    <row r="37" spans="1:19" ht="18" customHeight="1" thickBot="1" thickTop="1">
      <c r="A37" s="20">
        <v>31</v>
      </c>
      <c r="B37" s="88" t="s">
        <v>195</v>
      </c>
      <c r="C37" s="20">
        <v>289.24</v>
      </c>
      <c r="D37" s="20">
        <v>240.6</v>
      </c>
      <c r="E37" s="59">
        <f t="shared" si="0"/>
        <v>83.18351541972065</v>
      </c>
      <c r="F37" s="137">
        <v>28</v>
      </c>
      <c r="G37" s="20">
        <v>248.58</v>
      </c>
      <c r="H37" s="20">
        <v>240.6</v>
      </c>
      <c r="I37" s="59">
        <f t="shared" si="1"/>
        <v>96.7897658701424</v>
      </c>
      <c r="J37" s="137">
        <v>43</v>
      </c>
      <c r="K37" s="20">
        <v>290.22</v>
      </c>
      <c r="L37" s="20">
        <v>240.6</v>
      </c>
      <c r="M37" s="59">
        <f t="shared" si="2"/>
        <v>-49.62000000000003</v>
      </c>
      <c r="N37" s="59">
        <f t="shared" si="3"/>
        <v>-17.09737440562333</v>
      </c>
      <c r="O37" s="137">
        <v>55</v>
      </c>
      <c r="Q37" s="117" t="s">
        <v>176</v>
      </c>
      <c r="R37" s="142">
        <v>179.3604294471613</v>
      </c>
      <c r="S37" s="119" t="s">
        <v>311</v>
      </c>
    </row>
    <row r="38" spans="1:19" ht="18" customHeight="1" thickBot="1" thickTop="1">
      <c r="A38" s="20">
        <v>32</v>
      </c>
      <c r="B38" s="88" t="s">
        <v>196</v>
      </c>
      <c r="C38" s="20">
        <v>255.8</v>
      </c>
      <c r="D38" s="20">
        <v>204.35</v>
      </c>
      <c r="E38" s="59">
        <f t="shared" si="0"/>
        <v>79.88663017982799</v>
      </c>
      <c r="F38" s="137">
        <v>32</v>
      </c>
      <c r="G38" s="20">
        <v>209.32</v>
      </c>
      <c r="H38" s="20">
        <v>204.35</v>
      </c>
      <c r="I38" s="59">
        <f t="shared" si="1"/>
        <v>97.62564494553794</v>
      </c>
      <c r="J38" s="137">
        <v>39</v>
      </c>
      <c r="K38" s="20">
        <v>242.56</v>
      </c>
      <c r="L38" s="20">
        <v>204.35</v>
      </c>
      <c r="M38" s="59">
        <f t="shared" si="2"/>
        <v>-38.21000000000001</v>
      </c>
      <c r="N38" s="59">
        <f t="shared" si="3"/>
        <v>-15.75280343007916</v>
      </c>
      <c r="O38" s="137">
        <v>53</v>
      </c>
      <c r="Q38" s="117" t="s">
        <v>200</v>
      </c>
      <c r="R38" s="142">
        <v>177.7267059074687</v>
      </c>
      <c r="S38" s="119" t="s">
        <v>312</v>
      </c>
    </row>
    <row r="39" spans="1:19" ht="18" customHeight="1" thickBot="1" thickTop="1">
      <c r="A39" s="20">
        <v>33</v>
      </c>
      <c r="B39" s="88" t="s">
        <v>197</v>
      </c>
      <c r="C39" s="20">
        <v>367.52</v>
      </c>
      <c r="D39" s="20">
        <v>271.18</v>
      </c>
      <c r="E39" s="59">
        <f t="shared" si="0"/>
        <v>73.78646060078363</v>
      </c>
      <c r="F39" s="137">
        <v>40</v>
      </c>
      <c r="G39" s="20">
        <v>267.85</v>
      </c>
      <c r="H39" s="20">
        <v>271.18</v>
      </c>
      <c r="I39" s="59">
        <f t="shared" si="1"/>
        <v>101.24323315288406</v>
      </c>
      <c r="J39" s="137">
        <v>24</v>
      </c>
      <c r="K39" s="20">
        <v>270.71</v>
      </c>
      <c r="L39" s="20">
        <v>271.18</v>
      </c>
      <c r="M39" s="59">
        <f t="shared" si="2"/>
        <v>0.4700000000000273</v>
      </c>
      <c r="N39" s="59">
        <f t="shared" si="3"/>
        <v>0.17361752428799354</v>
      </c>
      <c r="O39" s="137">
        <v>44</v>
      </c>
      <c r="Q39" s="117" t="s">
        <v>229</v>
      </c>
      <c r="R39" s="142">
        <v>177.6579219419941</v>
      </c>
      <c r="S39" s="119" t="s">
        <v>313</v>
      </c>
    </row>
    <row r="40" spans="1:19" ht="18" customHeight="1" thickBot="1" thickTop="1">
      <c r="A40" s="20">
        <v>34</v>
      </c>
      <c r="B40" s="88" t="s">
        <v>198</v>
      </c>
      <c r="C40" s="20">
        <v>2769.9</v>
      </c>
      <c r="D40" s="20">
        <v>977.83</v>
      </c>
      <c r="E40" s="59">
        <f t="shared" si="0"/>
        <v>35.301996461966134</v>
      </c>
      <c r="F40" s="137">
        <v>60</v>
      </c>
      <c r="G40" s="20">
        <v>1063.02</v>
      </c>
      <c r="H40" s="20">
        <v>977.83</v>
      </c>
      <c r="I40" s="59">
        <f t="shared" si="1"/>
        <v>91.98603977347557</v>
      </c>
      <c r="J40" s="137">
        <v>53</v>
      </c>
      <c r="K40" s="20">
        <v>873.17</v>
      </c>
      <c r="L40" s="20">
        <v>977.83</v>
      </c>
      <c r="M40" s="59">
        <f t="shared" si="2"/>
        <v>104.66000000000008</v>
      </c>
      <c r="N40" s="59">
        <f t="shared" si="3"/>
        <v>11.986211161629475</v>
      </c>
      <c r="O40" s="137">
        <v>20</v>
      </c>
      <c r="Q40" s="117" t="s">
        <v>162</v>
      </c>
      <c r="R40" s="142">
        <v>176.7409126708773</v>
      </c>
      <c r="S40" s="119" t="s">
        <v>314</v>
      </c>
    </row>
    <row r="41" spans="1:19" ht="18" customHeight="1" thickBot="1" thickTop="1">
      <c r="A41" s="20">
        <v>35</v>
      </c>
      <c r="B41" s="88" t="s">
        <v>199</v>
      </c>
      <c r="C41" s="20">
        <v>942.56</v>
      </c>
      <c r="D41" s="20">
        <v>469.46</v>
      </c>
      <c r="E41" s="59">
        <f t="shared" si="0"/>
        <v>49.806908843999324</v>
      </c>
      <c r="F41" s="137">
        <v>59</v>
      </c>
      <c r="G41" s="20">
        <v>522.43</v>
      </c>
      <c r="H41" s="20">
        <v>469.46</v>
      </c>
      <c r="I41" s="59">
        <f t="shared" si="1"/>
        <v>89.86084260092262</v>
      </c>
      <c r="J41" s="137">
        <v>55</v>
      </c>
      <c r="K41" s="20">
        <v>627.53</v>
      </c>
      <c r="L41" s="20">
        <v>469.46</v>
      </c>
      <c r="M41" s="59">
        <f t="shared" si="2"/>
        <v>-158.07</v>
      </c>
      <c r="N41" s="59">
        <f t="shared" si="3"/>
        <v>-25.189233980845536</v>
      </c>
      <c r="O41" s="137">
        <v>60</v>
      </c>
      <c r="Q41" s="117" t="s">
        <v>226</v>
      </c>
      <c r="R41" s="142">
        <v>176.5287278787157</v>
      </c>
      <c r="S41" s="119" t="s">
        <v>315</v>
      </c>
    </row>
    <row r="42" spans="1:19" ht="18" customHeight="1" thickBot="1" thickTop="1">
      <c r="A42" s="20">
        <v>36</v>
      </c>
      <c r="B42" s="88" t="s">
        <v>200</v>
      </c>
      <c r="C42" s="20">
        <v>156.4</v>
      </c>
      <c r="D42" s="20">
        <v>125.37</v>
      </c>
      <c r="E42" s="59">
        <f t="shared" si="0"/>
        <v>80.15984654731457</v>
      </c>
      <c r="F42" s="79">
        <v>31</v>
      </c>
      <c r="G42" s="59">
        <v>130.78</v>
      </c>
      <c r="H42" s="20">
        <v>125.37</v>
      </c>
      <c r="I42" s="59">
        <f t="shared" si="1"/>
        <v>95.86328184737728</v>
      </c>
      <c r="J42" s="137">
        <v>46</v>
      </c>
      <c r="K42" s="20">
        <v>123.27</v>
      </c>
      <c r="L42" s="20">
        <v>125.37</v>
      </c>
      <c r="M42" s="59">
        <f t="shared" si="2"/>
        <v>2.1000000000000085</v>
      </c>
      <c r="N42" s="59">
        <f t="shared" si="3"/>
        <v>1.7035775127768382</v>
      </c>
      <c r="O42" s="137">
        <v>41</v>
      </c>
      <c r="Q42" s="117" t="s">
        <v>187</v>
      </c>
      <c r="R42" s="142">
        <v>176.09784346086101</v>
      </c>
      <c r="S42" s="119" t="s">
        <v>316</v>
      </c>
    </row>
    <row r="43" spans="1:19" ht="18" customHeight="1" thickBot="1" thickTop="1">
      <c r="A43" s="20">
        <v>37</v>
      </c>
      <c r="B43" s="88" t="s">
        <v>202</v>
      </c>
      <c r="C43" s="20">
        <v>134.63</v>
      </c>
      <c r="D43" s="20">
        <v>114.2</v>
      </c>
      <c r="E43" s="59">
        <f t="shared" si="0"/>
        <v>84.8250761345911</v>
      </c>
      <c r="F43" s="85">
        <v>23</v>
      </c>
      <c r="G43" s="59">
        <v>115.32</v>
      </c>
      <c r="H43" s="20">
        <v>114.2</v>
      </c>
      <c r="I43" s="59">
        <f t="shared" si="1"/>
        <v>99.02878945542838</v>
      </c>
      <c r="J43" s="137">
        <v>32</v>
      </c>
      <c r="K43" s="20">
        <v>109.56</v>
      </c>
      <c r="L43" s="20">
        <v>114.2</v>
      </c>
      <c r="M43" s="59">
        <f t="shared" si="2"/>
        <v>4.640000000000001</v>
      </c>
      <c r="N43" s="59">
        <f t="shared" si="3"/>
        <v>4.235122307411465</v>
      </c>
      <c r="O43" s="137">
        <v>37</v>
      </c>
      <c r="Q43" s="117" t="s">
        <v>197</v>
      </c>
      <c r="R43" s="142">
        <v>175.2033112779557</v>
      </c>
      <c r="S43" s="119" t="s">
        <v>318</v>
      </c>
    </row>
    <row r="44" spans="1:19" ht="18" customHeight="1" thickBot="1" thickTop="1">
      <c r="A44" s="20">
        <v>38</v>
      </c>
      <c r="B44" s="88" t="s">
        <v>203</v>
      </c>
      <c r="C44" s="20">
        <v>2656.39</v>
      </c>
      <c r="D44" s="20">
        <v>395.49</v>
      </c>
      <c r="E44" s="59">
        <f t="shared" si="0"/>
        <v>14.888250595733307</v>
      </c>
      <c r="F44" s="85">
        <v>63</v>
      </c>
      <c r="G44" s="59">
        <v>400.59</v>
      </c>
      <c r="H44" s="20">
        <v>395.49</v>
      </c>
      <c r="I44" s="59">
        <f t="shared" si="1"/>
        <v>98.72687785516364</v>
      </c>
      <c r="J44" s="137">
        <v>35</v>
      </c>
      <c r="K44" s="20">
        <v>319.44</v>
      </c>
      <c r="L44" s="20">
        <v>395.49</v>
      </c>
      <c r="M44" s="59">
        <f t="shared" si="2"/>
        <v>76.05000000000001</v>
      </c>
      <c r="N44" s="59">
        <f t="shared" si="3"/>
        <v>23.807287753568747</v>
      </c>
      <c r="O44" s="137">
        <v>11</v>
      </c>
      <c r="Q44" s="117" t="s">
        <v>189</v>
      </c>
      <c r="R44" s="142">
        <v>174.719475250729</v>
      </c>
      <c r="S44" s="119" t="s">
        <v>319</v>
      </c>
    </row>
    <row r="45" spans="1:19" ht="18" customHeight="1" thickBot="1" thickTop="1">
      <c r="A45" s="24">
        <v>39</v>
      </c>
      <c r="B45" s="88" t="s">
        <v>204</v>
      </c>
      <c r="C45" s="20">
        <v>984.32</v>
      </c>
      <c r="D45" s="20">
        <v>743.71</v>
      </c>
      <c r="E45" s="59">
        <f t="shared" si="0"/>
        <v>75.55571358907672</v>
      </c>
      <c r="F45" s="85">
        <v>37</v>
      </c>
      <c r="G45" s="59">
        <v>750.46</v>
      </c>
      <c r="H45" s="20">
        <v>743.71</v>
      </c>
      <c r="I45" s="59">
        <f t="shared" si="1"/>
        <v>99.10055166164751</v>
      </c>
      <c r="J45" s="137">
        <v>31</v>
      </c>
      <c r="K45" s="20">
        <v>512.7</v>
      </c>
      <c r="L45" s="20">
        <v>743.71</v>
      </c>
      <c r="M45" s="59">
        <f t="shared" si="2"/>
        <v>231.01</v>
      </c>
      <c r="N45" s="59">
        <f t="shared" si="3"/>
        <v>45.05753852155256</v>
      </c>
      <c r="O45" s="137">
        <v>5</v>
      </c>
      <c r="Q45" s="117" t="s">
        <v>166</v>
      </c>
      <c r="R45" s="142">
        <v>172.9497701263864</v>
      </c>
      <c r="S45" s="119" t="s">
        <v>320</v>
      </c>
    </row>
    <row r="46" spans="1:19" ht="18" customHeight="1" thickBot="1" thickTop="1">
      <c r="A46" s="20">
        <v>40</v>
      </c>
      <c r="B46" s="88" t="s">
        <v>205</v>
      </c>
      <c r="C46" s="20">
        <v>377.23</v>
      </c>
      <c r="D46" s="20">
        <v>312.86</v>
      </c>
      <c r="E46" s="59">
        <f t="shared" si="0"/>
        <v>82.93613975558678</v>
      </c>
      <c r="F46" s="85">
        <v>29</v>
      </c>
      <c r="G46" s="59">
        <v>316.81</v>
      </c>
      <c r="H46" s="20">
        <v>312.86</v>
      </c>
      <c r="I46" s="59">
        <f t="shared" si="1"/>
        <v>98.7531959218459</v>
      </c>
      <c r="J46" s="137">
        <v>34</v>
      </c>
      <c r="K46" s="20">
        <v>176.41</v>
      </c>
      <c r="L46" s="20">
        <v>312.86</v>
      </c>
      <c r="M46" s="59">
        <f t="shared" si="2"/>
        <v>136.45000000000002</v>
      </c>
      <c r="N46" s="59">
        <f t="shared" si="3"/>
        <v>77.34822288985886</v>
      </c>
      <c r="O46" s="137">
        <v>1</v>
      </c>
      <c r="Q46" s="117" t="s">
        <v>234</v>
      </c>
      <c r="R46" s="142">
        <v>172.33331714495822</v>
      </c>
      <c r="S46" s="119" t="s">
        <v>321</v>
      </c>
    </row>
    <row r="47" spans="1:19" ht="18" customHeight="1" thickBot="1" thickTop="1">
      <c r="A47" s="20">
        <v>41</v>
      </c>
      <c r="B47" s="88" t="s">
        <v>206</v>
      </c>
      <c r="C47" s="20">
        <v>484.59</v>
      </c>
      <c r="D47" s="20">
        <v>395.28</v>
      </c>
      <c r="E47" s="59">
        <f t="shared" si="0"/>
        <v>81.56998699931901</v>
      </c>
      <c r="F47" s="85">
        <v>30</v>
      </c>
      <c r="G47" s="59">
        <v>397.23</v>
      </c>
      <c r="H47" s="20">
        <v>395.28</v>
      </c>
      <c r="I47" s="59">
        <f t="shared" si="1"/>
        <v>99.50910052110866</v>
      </c>
      <c r="J47" s="137">
        <v>29</v>
      </c>
      <c r="K47" s="20">
        <v>498.28</v>
      </c>
      <c r="L47" s="20">
        <v>395.28</v>
      </c>
      <c r="M47" s="59">
        <f t="shared" si="2"/>
        <v>-103</v>
      </c>
      <c r="N47" s="59">
        <f t="shared" si="3"/>
        <v>-20.671108613630892</v>
      </c>
      <c r="O47" s="137">
        <v>58</v>
      </c>
      <c r="Q47" s="117" t="s">
        <v>221</v>
      </c>
      <c r="R47" s="142">
        <v>170.55974322345503</v>
      </c>
      <c r="S47" s="119" t="s">
        <v>322</v>
      </c>
    </row>
    <row r="48" spans="1:19" ht="18" customHeight="1" thickBot="1" thickTop="1">
      <c r="A48" s="20">
        <v>42</v>
      </c>
      <c r="B48" s="88" t="s">
        <v>208</v>
      </c>
      <c r="C48" s="20">
        <v>209.76</v>
      </c>
      <c r="D48" s="20">
        <v>176.28</v>
      </c>
      <c r="E48" s="59">
        <f t="shared" si="0"/>
        <v>84.03890160183066</v>
      </c>
      <c r="F48" s="85">
        <v>27</v>
      </c>
      <c r="G48" s="59">
        <v>183</v>
      </c>
      <c r="H48" s="20">
        <v>176.28</v>
      </c>
      <c r="I48" s="59">
        <f t="shared" si="1"/>
        <v>96.32786885245902</v>
      </c>
      <c r="J48" s="137">
        <v>44</v>
      </c>
      <c r="K48" s="20">
        <v>109.58</v>
      </c>
      <c r="L48" s="20">
        <v>176.28</v>
      </c>
      <c r="M48" s="59">
        <f t="shared" si="2"/>
        <v>66.7</v>
      </c>
      <c r="N48" s="59">
        <f t="shared" si="3"/>
        <v>60.86877167366308</v>
      </c>
      <c r="O48" s="137">
        <v>3</v>
      </c>
      <c r="Q48" s="117" t="s">
        <v>164</v>
      </c>
      <c r="R48" s="142">
        <v>170.39085862027565</v>
      </c>
      <c r="S48" s="119" t="s">
        <v>323</v>
      </c>
    </row>
    <row r="49" spans="1:19" ht="18" customHeight="1" thickBot="1" thickTop="1">
      <c r="A49" s="20">
        <v>43</v>
      </c>
      <c r="B49" s="88" t="s">
        <v>209</v>
      </c>
      <c r="C49" s="20">
        <v>112</v>
      </c>
      <c r="D49" s="20">
        <v>112.77</v>
      </c>
      <c r="E49" s="59">
        <f t="shared" si="0"/>
        <v>100.6875</v>
      </c>
      <c r="F49" s="85">
        <v>2</v>
      </c>
      <c r="G49" s="59">
        <v>107.92</v>
      </c>
      <c r="H49" s="20">
        <v>112.77</v>
      </c>
      <c r="I49" s="59">
        <f t="shared" si="1"/>
        <v>104.49406968124538</v>
      </c>
      <c r="J49" s="137">
        <v>7</v>
      </c>
      <c r="K49" s="20">
        <v>104.39</v>
      </c>
      <c r="L49" s="20">
        <v>112.77</v>
      </c>
      <c r="M49" s="59">
        <f t="shared" si="2"/>
        <v>8.379999999999995</v>
      </c>
      <c r="N49" s="59">
        <f t="shared" si="3"/>
        <v>8.027588849506653</v>
      </c>
      <c r="O49" s="137">
        <v>27</v>
      </c>
      <c r="Q49" s="117" t="s">
        <v>161</v>
      </c>
      <c r="R49" s="142">
        <v>165.66869885007603</v>
      </c>
      <c r="S49" s="119" t="s">
        <v>324</v>
      </c>
    </row>
    <row r="50" spans="1:19" ht="18" customHeight="1" thickBot="1" thickTop="1">
      <c r="A50" s="20">
        <v>44</v>
      </c>
      <c r="B50" s="88" t="s">
        <v>210</v>
      </c>
      <c r="C50" s="20">
        <v>234.15</v>
      </c>
      <c r="D50" s="20">
        <v>173.67</v>
      </c>
      <c r="E50" s="59">
        <f t="shared" si="0"/>
        <v>74.17040358744393</v>
      </c>
      <c r="F50" s="85">
        <v>39</v>
      </c>
      <c r="G50" s="59">
        <v>178.45</v>
      </c>
      <c r="H50" s="20">
        <v>173.67</v>
      </c>
      <c r="I50" s="59">
        <f t="shared" si="1"/>
        <v>97.32137853740544</v>
      </c>
      <c r="J50" s="137">
        <v>40</v>
      </c>
      <c r="K50" s="20">
        <v>206.28</v>
      </c>
      <c r="L50" s="20">
        <v>173.67</v>
      </c>
      <c r="M50" s="59">
        <f t="shared" si="2"/>
        <v>-32.610000000000014</v>
      </c>
      <c r="N50" s="59">
        <f t="shared" si="3"/>
        <v>-15.808609656777204</v>
      </c>
      <c r="O50" s="137">
        <v>54</v>
      </c>
      <c r="Q50" s="117" t="s">
        <v>195</v>
      </c>
      <c r="R50" s="142">
        <v>162.87590688423973</v>
      </c>
      <c r="S50" s="119" t="s">
        <v>325</v>
      </c>
    </row>
    <row r="51" spans="1:19" ht="18" customHeight="1" thickBot="1" thickTop="1">
      <c r="A51" s="20">
        <v>45</v>
      </c>
      <c r="B51" s="88" t="s">
        <v>211</v>
      </c>
      <c r="C51" s="20">
        <v>290.63</v>
      </c>
      <c r="D51" s="20">
        <v>295.75</v>
      </c>
      <c r="E51" s="59">
        <f t="shared" si="0"/>
        <v>101.76169012146028</v>
      </c>
      <c r="F51" s="85">
        <v>1</v>
      </c>
      <c r="G51" s="59">
        <v>284.14</v>
      </c>
      <c r="H51" s="20">
        <v>295.75</v>
      </c>
      <c r="I51" s="59">
        <f t="shared" si="1"/>
        <v>104.08601393679173</v>
      </c>
      <c r="J51" s="137">
        <v>11</v>
      </c>
      <c r="K51" s="20">
        <v>316.43</v>
      </c>
      <c r="L51" s="20">
        <v>295.75</v>
      </c>
      <c r="M51" s="59">
        <f t="shared" si="2"/>
        <v>-20.680000000000007</v>
      </c>
      <c r="N51" s="59">
        <f t="shared" si="3"/>
        <v>-6.53541067534684</v>
      </c>
      <c r="O51" s="137">
        <v>49</v>
      </c>
      <c r="Q51" s="117" t="s">
        <v>196</v>
      </c>
      <c r="R51" s="142">
        <v>161.75947169528678</v>
      </c>
      <c r="S51" s="119" t="s">
        <v>326</v>
      </c>
    </row>
    <row r="52" spans="1:19" ht="18" customHeight="1" thickBot="1" thickTop="1">
      <c r="A52" s="20">
        <v>46</v>
      </c>
      <c r="B52" s="88" t="s">
        <v>212</v>
      </c>
      <c r="C52" s="20">
        <v>115.33</v>
      </c>
      <c r="D52" s="20">
        <v>110.89</v>
      </c>
      <c r="E52" s="59">
        <f t="shared" si="0"/>
        <v>96.15017775080204</v>
      </c>
      <c r="F52" s="85">
        <v>6</v>
      </c>
      <c r="G52" s="59">
        <v>100.97</v>
      </c>
      <c r="H52" s="20">
        <v>110.89</v>
      </c>
      <c r="I52" s="59">
        <f t="shared" si="1"/>
        <v>109.8247004060612</v>
      </c>
      <c r="J52" s="137">
        <v>1</v>
      </c>
      <c r="K52" s="20">
        <v>102.29</v>
      </c>
      <c r="L52" s="20">
        <v>110.89</v>
      </c>
      <c r="M52" s="59">
        <f t="shared" si="2"/>
        <v>8.599999999999994</v>
      </c>
      <c r="N52" s="59">
        <f t="shared" si="3"/>
        <v>8.407468960797726</v>
      </c>
      <c r="O52" s="137">
        <v>25</v>
      </c>
      <c r="Q52" s="117" t="s">
        <v>167</v>
      </c>
      <c r="R52" s="142">
        <v>161.75303086848746</v>
      </c>
      <c r="S52" s="119" t="s">
        <v>327</v>
      </c>
    </row>
    <row r="53" spans="1:19" ht="18" customHeight="1" thickBot="1" thickTop="1">
      <c r="A53" s="20">
        <v>47</v>
      </c>
      <c r="B53" s="88" t="s">
        <v>214</v>
      </c>
      <c r="C53" s="20">
        <v>269.24</v>
      </c>
      <c r="D53" s="20">
        <v>230.44</v>
      </c>
      <c r="E53" s="59">
        <f t="shared" si="0"/>
        <v>85.58906551775367</v>
      </c>
      <c r="F53" s="85">
        <v>22</v>
      </c>
      <c r="G53" s="59">
        <v>224.12</v>
      </c>
      <c r="H53" s="20">
        <v>230.44</v>
      </c>
      <c r="I53" s="59">
        <f t="shared" si="1"/>
        <v>102.8199179011244</v>
      </c>
      <c r="J53" s="137">
        <v>16</v>
      </c>
      <c r="K53" s="20">
        <v>182.45</v>
      </c>
      <c r="L53" s="20">
        <v>230.44</v>
      </c>
      <c r="M53" s="59">
        <f t="shared" si="2"/>
        <v>47.99000000000001</v>
      </c>
      <c r="N53" s="59">
        <f t="shared" si="3"/>
        <v>26.303096738832565</v>
      </c>
      <c r="O53" s="137">
        <v>9</v>
      </c>
      <c r="Q53" s="117" t="s">
        <v>227</v>
      </c>
      <c r="R53" s="142">
        <v>160.51234818923388</v>
      </c>
      <c r="S53" s="119" t="s">
        <v>328</v>
      </c>
    </row>
    <row r="54" spans="1:19" ht="18" customHeight="1" thickBot="1" thickTop="1">
      <c r="A54" s="20">
        <v>48</v>
      </c>
      <c r="B54" s="88" t="s">
        <v>215</v>
      </c>
      <c r="C54" s="20">
        <v>446.59</v>
      </c>
      <c r="D54" s="20">
        <v>424.45</v>
      </c>
      <c r="E54" s="59">
        <f t="shared" si="0"/>
        <v>95.04243265635147</v>
      </c>
      <c r="F54" s="85">
        <v>7</v>
      </c>
      <c r="G54" s="59">
        <v>416.22</v>
      </c>
      <c r="H54" s="20">
        <v>424.45</v>
      </c>
      <c r="I54" s="59">
        <f t="shared" si="1"/>
        <v>101.97731968670413</v>
      </c>
      <c r="J54" s="137">
        <v>21</v>
      </c>
      <c r="K54" s="20">
        <v>342.95</v>
      </c>
      <c r="L54" s="20">
        <v>424.45</v>
      </c>
      <c r="M54" s="59">
        <f t="shared" si="2"/>
        <v>81.5</v>
      </c>
      <c r="N54" s="59">
        <f t="shared" si="3"/>
        <v>23.76439714244059</v>
      </c>
      <c r="O54" s="137">
        <v>12</v>
      </c>
      <c r="Q54" s="117" t="s">
        <v>206</v>
      </c>
      <c r="R54" s="142">
        <v>160.40797890679676</v>
      </c>
      <c r="S54" s="119" t="s">
        <v>329</v>
      </c>
    </row>
    <row r="55" spans="1:19" ht="18" customHeight="1" thickBot="1" thickTop="1">
      <c r="A55" s="20">
        <v>49</v>
      </c>
      <c r="B55" s="88" t="s">
        <v>216</v>
      </c>
      <c r="C55" s="20">
        <v>300.88</v>
      </c>
      <c r="D55" s="20">
        <v>292.15</v>
      </c>
      <c r="E55" s="59">
        <f t="shared" si="0"/>
        <v>97.09851103429938</v>
      </c>
      <c r="F55" s="85">
        <v>5</v>
      </c>
      <c r="G55" s="59">
        <v>288.95</v>
      </c>
      <c r="H55" s="20">
        <v>292.15</v>
      </c>
      <c r="I55" s="59">
        <f t="shared" si="1"/>
        <v>101.10745803772278</v>
      </c>
      <c r="J55" s="137">
        <v>25</v>
      </c>
      <c r="K55" s="20">
        <v>289.56</v>
      </c>
      <c r="L55" s="20">
        <v>292.15</v>
      </c>
      <c r="M55" s="59">
        <f t="shared" si="2"/>
        <v>2.589999999999975</v>
      </c>
      <c r="N55" s="59">
        <f t="shared" si="3"/>
        <v>0.8944605608509376</v>
      </c>
      <c r="O55" s="137">
        <v>42</v>
      </c>
      <c r="Q55" s="117" t="s">
        <v>231</v>
      </c>
      <c r="R55" s="142">
        <v>158.27145587109226</v>
      </c>
      <c r="S55" s="119" t="s">
        <v>330</v>
      </c>
    </row>
    <row r="56" spans="1:19" ht="18" customHeight="1" thickBot="1" thickTop="1">
      <c r="A56" s="20">
        <v>50</v>
      </c>
      <c r="B56" s="88" t="s">
        <v>217</v>
      </c>
      <c r="C56" s="20">
        <v>304.92</v>
      </c>
      <c r="D56" s="20">
        <v>275.97</v>
      </c>
      <c r="E56" s="59">
        <f t="shared" si="0"/>
        <v>90.50570641479733</v>
      </c>
      <c r="F56" s="85">
        <v>12</v>
      </c>
      <c r="G56" s="59">
        <v>264.45</v>
      </c>
      <c r="H56" s="20">
        <v>275.97</v>
      </c>
      <c r="I56" s="59">
        <f t="shared" si="1"/>
        <v>104.35621100397053</v>
      </c>
      <c r="J56" s="137">
        <v>9</v>
      </c>
      <c r="K56" s="20">
        <v>214.82</v>
      </c>
      <c r="L56" s="20">
        <v>275.97</v>
      </c>
      <c r="M56" s="59">
        <f t="shared" si="2"/>
        <v>61.150000000000034</v>
      </c>
      <c r="N56" s="59">
        <f t="shared" si="3"/>
        <v>28.465692207429495</v>
      </c>
      <c r="O56" s="137">
        <v>8</v>
      </c>
      <c r="Q56" s="117" t="s">
        <v>173</v>
      </c>
      <c r="R56" s="142">
        <v>158.13245038491334</v>
      </c>
      <c r="S56" s="119" t="s">
        <v>331</v>
      </c>
    </row>
    <row r="57" spans="1:19" ht="18" customHeight="1" thickBot="1" thickTop="1">
      <c r="A57" s="20">
        <v>51</v>
      </c>
      <c r="B57" s="88" t="s">
        <v>218</v>
      </c>
      <c r="C57" s="20">
        <v>727.13</v>
      </c>
      <c r="D57" s="20">
        <v>724.63</v>
      </c>
      <c r="E57" s="59">
        <f t="shared" si="0"/>
        <v>99.6561825258207</v>
      </c>
      <c r="F57" s="79">
        <v>4</v>
      </c>
      <c r="G57" s="20">
        <v>707.51</v>
      </c>
      <c r="H57" s="20">
        <v>724.63</v>
      </c>
      <c r="I57" s="59">
        <f t="shared" si="1"/>
        <v>102.41975378439881</v>
      </c>
      <c r="J57" s="137">
        <v>19</v>
      </c>
      <c r="K57" s="20">
        <v>683.17</v>
      </c>
      <c r="L57" s="20">
        <v>724.63</v>
      </c>
      <c r="M57" s="59">
        <f t="shared" si="2"/>
        <v>41.460000000000036</v>
      </c>
      <c r="N57" s="59">
        <f t="shared" si="3"/>
        <v>6.068767656659403</v>
      </c>
      <c r="O57" s="137">
        <v>33</v>
      </c>
      <c r="Q57" s="117" t="s">
        <v>179</v>
      </c>
      <c r="R57" s="142">
        <v>157.26212459258716</v>
      </c>
      <c r="S57" s="119" t="s">
        <v>332</v>
      </c>
    </row>
    <row r="58" spans="1:19" ht="18" customHeight="1" thickBot="1" thickTop="1">
      <c r="A58" s="20">
        <v>52</v>
      </c>
      <c r="B58" s="88" t="s">
        <v>219</v>
      </c>
      <c r="C58" s="20">
        <v>252.62</v>
      </c>
      <c r="D58" s="20">
        <v>252.19</v>
      </c>
      <c r="E58" s="59">
        <f t="shared" si="0"/>
        <v>99.82978386509382</v>
      </c>
      <c r="F58" s="79">
        <v>3</v>
      </c>
      <c r="G58" s="20">
        <v>235.79</v>
      </c>
      <c r="H58" s="20">
        <v>252.19</v>
      </c>
      <c r="I58" s="59">
        <f t="shared" si="1"/>
        <v>106.95534161754104</v>
      </c>
      <c r="J58" s="137">
        <v>5</v>
      </c>
      <c r="K58" s="20">
        <v>236.2</v>
      </c>
      <c r="L58" s="20">
        <v>252.19</v>
      </c>
      <c r="M58" s="59">
        <f t="shared" si="2"/>
        <v>15.990000000000009</v>
      </c>
      <c r="N58" s="59">
        <f t="shared" si="3"/>
        <v>6.769686706181206</v>
      </c>
      <c r="O58" s="137">
        <v>30</v>
      </c>
      <c r="Q58" s="117" t="s">
        <v>210</v>
      </c>
      <c r="R58" s="142">
        <v>155.68317246807214</v>
      </c>
      <c r="S58" s="119" t="s">
        <v>333</v>
      </c>
    </row>
    <row r="59" spans="1:19" ht="18" customHeight="1" thickBot="1" thickTop="1">
      <c r="A59" s="20">
        <v>53</v>
      </c>
      <c r="B59" s="88" t="s">
        <v>221</v>
      </c>
      <c r="C59" s="20">
        <v>952.57</v>
      </c>
      <c r="D59" s="20">
        <v>610.32</v>
      </c>
      <c r="E59" s="59">
        <f t="shared" si="0"/>
        <v>64.0708819299369</v>
      </c>
      <c r="F59" s="79">
        <v>50</v>
      </c>
      <c r="G59" s="20">
        <v>617.88</v>
      </c>
      <c r="H59" s="20">
        <v>610.32</v>
      </c>
      <c r="I59" s="59">
        <f t="shared" si="1"/>
        <v>98.77646144882503</v>
      </c>
      <c r="J59" s="137">
        <v>33</v>
      </c>
      <c r="K59" s="20">
        <v>566.62</v>
      </c>
      <c r="L59" s="20">
        <v>610.32</v>
      </c>
      <c r="M59" s="59">
        <f t="shared" si="2"/>
        <v>43.700000000000045</v>
      </c>
      <c r="N59" s="59">
        <f t="shared" si="3"/>
        <v>7.712399844693101</v>
      </c>
      <c r="O59" s="137">
        <v>28</v>
      </c>
      <c r="Q59" s="117" t="s">
        <v>170</v>
      </c>
      <c r="R59" s="142">
        <v>152.0173346581383</v>
      </c>
      <c r="S59" s="119" t="s">
        <v>334</v>
      </c>
    </row>
    <row r="60" spans="1:19" ht="18" customHeight="1" thickBot="1" thickTop="1">
      <c r="A60" s="20">
        <v>54</v>
      </c>
      <c r="B60" s="88" t="s">
        <v>222</v>
      </c>
      <c r="C60" s="20">
        <v>297.35</v>
      </c>
      <c r="D60" s="20">
        <v>251.04</v>
      </c>
      <c r="E60" s="59">
        <f t="shared" si="0"/>
        <v>84.4257608878426</v>
      </c>
      <c r="F60" s="79">
        <v>25</v>
      </c>
      <c r="G60" s="20">
        <v>255.54</v>
      </c>
      <c r="H60" s="20">
        <v>251.04</v>
      </c>
      <c r="I60" s="59">
        <f t="shared" si="1"/>
        <v>98.23902324489316</v>
      </c>
      <c r="J60" s="137">
        <v>36</v>
      </c>
      <c r="K60" s="20">
        <v>195.23</v>
      </c>
      <c r="L60" s="20">
        <v>251.04</v>
      </c>
      <c r="M60" s="59">
        <f t="shared" si="2"/>
        <v>55.81</v>
      </c>
      <c r="N60" s="59">
        <f t="shared" si="3"/>
        <v>28.586795062234287</v>
      </c>
      <c r="O60" s="137">
        <v>7</v>
      </c>
      <c r="Q60" s="117" t="s">
        <v>181</v>
      </c>
      <c r="R60" s="142">
        <v>144.79762337265515</v>
      </c>
      <c r="S60" s="119" t="s">
        <v>335</v>
      </c>
    </row>
    <row r="61" spans="1:19" ht="18" customHeight="1" thickBot="1" thickTop="1">
      <c r="A61" s="20">
        <v>55</v>
      </c>
      <c r="B61" s="88" t="s">
        <v>223</v>
      </c>
      <c r="C61" s="20">
        <v>284.02</v>
      </c>
      <c r="D61" s="20">
        <v>243.46</v>
      </c>
      <c r="E61" s="59">
        <f t="shared" si="0"/>
        <v>85.71931554115908</v>
      </c>
      <c r="F61" s="79">
        <v>21</v>
      </c>
      <c r="G61" s="20">
        <v>239.57</v>
      </c>
      <c r="H61" s="20">
        <v>243.46</v>
      </c>
      <c r="I61" s="59">
        <f t="shared" si="1"/>
        <v>101.6237425387152</v>
      </c>
      <c r="J61" s="137">
        <v>22</v>
      </c>
      <c r="K61" s="20">
        <v>234.32</v>
      </c>
      <c r="L61" s="20">
        <v>243.46</v>
      </c>
      <c r="M61" s="59">
        <f t="shared" si="2"/>
        <v>9.140000000000015</v>
      </c>
      <c r="N61" s="59">
        <f t="shared" si="3"/>
        <v>3.9006486855582176</v>
      </c>
      <c r="O61" s="137">
        <v>38</v>
      </c>
      <c r="Q61" s="117" t="s">
        <v>230</v>
      </c>
      <c r="R61" s="142">
        <v>141.84954257105412</v>
      </c>
      <c r="S61" s="119" t="s">
        <v>336</v>
      </c>
    </row>
    <row r="62" spans="1:19" ht="18" customHeight="1" thickBot="1" thickTop="1">
      <c r="A62" s="20">
        <v>56</v>
      </c>
      <c r="B62" s="88" t="s">
        <v>225</v>
      </c>
      <c r="C62" s="20">
        <v>146.01</v>
      </c>
      <c r="D62" s="20">
        <v>128.36</v>
      </c>
      <c r="E62" s="59">
        <f t="shared" si="0"/>
        <v>87.91178686391345</v>
      </c>
      <c r="F62" s="79">
        <v>16</v>
      </c>
      <c r="G62" s="20">
        <v>119.93</v>
      </c>
      <c r="H62" s="20">
        <v>128.36</v>
      </c>
      <c r="I62" s="59">
        <f t="shared" si="1"/>
        <v>107.0291003085133</v>
      </c>
      <c r="J62" s="137">
        <v>4</v>
      </c>
      <c r="K62" s="20">
        <v>114.29</v>
      </c>
      <c r="L62" s="20">
        <v>128.36</v>
      </c>
      <c r="M62" s="59">
        <f t="shared" si="2"/>
        <v>14.070000000000007</v>
      </c>
      <c r="N62" s="59">
        <f t="shared" si="3"/>
        <v>12.310788345437052</v>
      </c>
      <c r="O62" s="137">
        <v>19</v>
      </c>
      <c r="Q62" s="117" t="s">
        <v>172</v>
      </c>
      <c r="R62" s="142">
        <v>140.20159402393693</v>
      </c>
      <c r="S62" s="119" t="s">
        <v>337</v>
      </c>
    </row>
    <row r="63" spans="1:19" ht="18" customHeight="1" thickBot="1" thickTop="1">
      <c r="A63" s="20">
        <v>57</v>
      </c>
      <c r="B63" s="88" t="s">
        <v>226</v>
      </c>
      <c r="C63" s="20">
        <v>204.37</v>
      </c>
      <c r="D63" s="20">
        <v>113.05</v>
      </c>
      <c r="E63" s="59">
        <f t="shared" si="0"/>
        <v>55.31633801438567</v>
      </c>
      <c r="F63" s="79">
        <v>57</v>
      </c>
      <c r="G63" s="20">
        <v>108.93</v>
      </c>
      <c r="H63" s="20">
        <v>113.05</v>
      </c>
      <c r="I63" s="59">
        <f t="shared" si="1"/>
        <v>103.78224547874781</v>
      </c>
      <c r="J63" s="137">
        <v>14</v>
      </c>
      <c r="K63" s="20">
        <v>96.27</v>
      </c>
      <c r="L63" s="20">
        <v>113.05</v>
      </c>
      <c r="M63" s="59">
        <f t="shared" si="2"/>
        <v>16.78</v>
      </c>
      <c r="N63" s="59">
        <f t="shared" si="3"/>
        <v>17.43014438558222</v>
      </c>
      <c r="O63" s="137">
        <v>16</v>
      </c>
      <c r="Q63" s="117" t="s">
        <v>198</v>
      </c>
      <c r="R63" s="142">
        <v>139.27424739707118</v>
      </c>
      <c r="S63" s="119" t="s">
        <v>338</v>
      </c>
    </row>
    <row r="64" spans="1:19" ht="18" customHeight="1" thickBot="1" thickTop="1">
      <c r="A64" s="20">
        <v>58</v>
      </c>
      <c r="B64" s="88" t="s">
        <v>227</v>
      </c>
      <c r="C64" s="20">
        <v>181.57</v>
      </c>
      <c r="D64" s="20">
        <v>103.5</v>
      </c>
      <c r="E64" s="59">
        <f t="shared" si="0"/>
        <v>57.00280883405849</v>
      </c>
      <c r="F64" s="79">
        <v>55</v>
      </c>
      <c r="G64" s="20">
        <v>97.3</v>
      </c>
      <c r="H64" s="20">
        <v>103.5</v>
      </c>
      <c r="I64" s="59">
        <f t="shared" si="1"/>
        <v>106.37204522096609</v>
      </c>
      <c r="J64" s="137">
        <v>6</v>
      </c>
      <c r="K64" s="20">
        <v>106.55</v>
      </c>
      <c r="L64" s="20">
        <v>103.5</v>
      </c>
      <c r="M64" s="59">
        <f t="shared" si="2"/>
        <v>-3.049999999999997</v>
      </c>
      <c r="N64" s="59">
        <f t="shared" si="3"/>
        <v>-2.862505865790706</v>
      </c>
      <c r="O64" s="137">
        <v>45</v>
      </c>
      <c r="Q64" s="117" t="s">
        <v>203</v>
      </c>
      <c r="R64" s="142">
        <v>137.4224162044657</v>
      </c>
      <c r="S64" s="119" t="s">
        <v>339</v>
      </c>
    </row>
    <row r="65" spans="1:19" ht="18" customHeight="1" thickBot="1" thickTop="1">
      <c r="A65" s="20">
        <v>59</v>
      </c>
      <c r="B65" s="88" t="s">
        <v>229</v>
      </c>
      <c r="C65" s="20">
        <v>274.09</v>
      </c>
      <c r="D65" s="20">
        <v>255.35</v>
      </c>
      <c r="E65" s="59">
        <f t="shared" si="0"/>
        <v>93.1628297274618</v>
      </c>
      <c r="F65" s="79">
        <v>8</v>
      </c>
      <c r="G65" s="20">
        <v>248.88</v>
      </c>
      <c r="H65" s="20">
        <v>255.35</v>
      </c>
      <c r="I65" s="59">
        <f t="shared" si="1"/>
        <v>102.59964641594344</v>
      </c>
      <c r="J65" s="137">
        <v>18</v>
      </c>
      <c r="K65" s="20">
        <v>311.8</v>
      </c>
      <c r="L65" s="20">
        <v>255.35</v>
      </c>
      <c r="M65" s="59">
        <f t="shared" si="2"/>
        <v>-56.45000000000002</v>
      </c>
      <c r="N65" s="59">
        <f t="shared" si="3"/>
        <v>-18.104554201411165</v>
      </c>
      <c r="O65" s="137">
        <v>56</v>
      </c>
      <c r="Q65" s="117" t="s">
        <v>180</v>
      </c>
      <c r="R65" s="142">
        <v>135.29598274689124</v>
      </c>
      <c r="S65" s="119" t="s">
        <v>340</v>
      </c>
    </row>
    <row r="66" spans="1:19" ht="18" customHeight="1" thickBot="1" thickTop="1">
      <c r="A66" s="20">
        <v>60</v>
      </c>
      <c r="B66" s="88" t="s">
        <v>230</v>
      </c>
      <c r="C66" s="20">
        <v>292.5</v>
      </c>
      <c r="D66" s="20">
        <v>261.72</v>
      </c>
      <c r="E66" s="59">
        <f t="shared" si="0"/>
        <v>89.47692307692309</v>
      </c>
      <c r="F66" s="79">
        <v>14</v>
      </c>
      <c r="G66" s="20">
        <v>260.78</v>
      </c>
      <c r="H66" s="20">
        <v>261.72</v>
      </c>
      <c r="I66" s="59">
        <f t="shared" si="1"/>
        <v>100.36045709026769</v>
      </c>
      <c r="J66" s="137">
        <v>26</v>
      </c>
      <c r="K66" s="20">
        <v>503.19</v>
      </c>
      <c r="L66" s="20">
        <v>261.72</v>
      </c>
      <c r="M66" s="59">
        <f t="shared" si="2"/>
        <v>-241.46999999999997</v>
      </c>
      <c r="N66" s="59">
        <f t="shared" si="3"/>
        <v>-47.98783759613664</v>
      </c>
      <c r="O66" s="137">
        <v>63</v>
      </c>
      <c r="Q66" s="117" t="s">
        <v>160</v>
      </c>
      <c r="R66" s="142">
        <v>118.94879124671323</v>
      </c>
      <c r="S66" s="119" t="s">
        <v>341</v>
      </c>
    </row>
    <row r="67" spans="1:19" ht="18" customHeight="1" thickBot="1" thickTop="1">
      <c r="A67" s="20">
        <v>61</v>
      </c>
      <c r="B67" s="88" t="s">
        <v>231</v>
      </c>
      <c r="C67" s="20">
        <v>405.57</v>
      </c>
      <c r="D67" s="20">
        <v>352.87</v>
      </c>
      <c r="E67" s="59">
        <f t="shared" si="0"/>
        <v>87.0059422541115</v>
      </c>
      <c r="F67" s="79">
        <v>18</v>
      </c>
      <c r="G67" s="20">
        <v>364.24</v>
      </c>
      <c r="H67" s="20">
        <v>352.87</v>
      </c>
      <c r="I67" s="59">
        <f t="shared" si="1"/>
        <v>96.87843180320668</v>
      </c>
      <c r="J67" s="137">
        <v>42</v>
      </c>
      <c r="K67" s="20">
        <v>474.37</v>
      </c>
      <c r="L67" s="20">
        <v>352.87</v>
      </c>
      <c r="M67" s="59">
        <f t="shared" si="2"/>
        <v>-121.5</v>
      </c>
      <c r="N67" s="59">
        <f t="shared" si="3"/>
        <v>-25.61291818622594</v>
      </c>
      <c r="O67" s="137">
        <v>61</v>
      </c>
      <c r="Q67" s="117" t="s">
        <v>199</v>
      </c>
      <c r="R67" s="142">
        <v>114.47851746407642</v>
      </c>
      <c r="S67" s="119" t="s">
        <v>342</v>
      </c>
    </row>
    <row r="68" spans="1:19" ht="18" customHeight="1" thickBot="1" thickTop="1">
      <c r="A68" s="20">
        <v>62</v>
      </c>
      <c r="B68" s="88" t="s">
        <v>233</v>
      </c>
      <c r="C68" s="20">
        <v>485.5</v>
      </c>
      <c r="D68" s="20">
        <v>316.73</v>
      </c>
      <c r="E68" s="59">
        <f t="shared" si="0"/>
        <v>65.2378990731205</v>
      </c>
      <c r="F68" s="79">
        <v>49</v>
      </c>
      <c r="G68" s="20">
        <v>292.68</v>
      </c>
      <c r="H68" s="20">
        <v>316.73</v>
      </c>
      <c r="I68" s="59">
        <f t="shared" si="1"/>
        <v>108.21716550498839</v>
      </c>
      <c r="J68" s="137">
        <v>2</v>
      </c>
      <c r="K68" s="20">
        <v>286.82</v>
      </c>
      <c r="L68" s="20">
        <v>316.73</v>
      </c>
      <c r="M68" s="59">
        <f t="shared" si="2"/>
        <v>29.910000000000025</v>
      </c>
      <c r="N68" s="59">
        <f t="shared" si="3"/>
        <v>10.428143086256197</v>
      </c>
      <c r="O68" s="137">
        <v>22</v>
      </c>
      <c r="Q68" s="117" t="s">
        <v>159</v>
      </c>
      <c r="R68" s="142">
        <v>109.85401026676061</v>
      </c>
      <c r="S68" s="119" t="s">
        <v>343</v>
      </c>
    </row>
    <row r="69" spans="1:19" ht="18" customHeight="1" thickBot="1" thickTop="1">
      <c r="A69" s="20">
        <v>63</v>
      </c>
      <c r="B69" s="88" t="s">
        <v>234</v>
      </c>
      <c r="C69" s="20">
        <v>346.35</v>
      </c>
      <c r="D69" s="20">
        <v>251.58</v>
      </c>
      <c r="E69" s="59">
        <f t="shared" si="0"/>
        <v>72.63750541359896</v>
      </c>
      <c r="F69" s="79">
        <v>42</v>
      </c>
      <c r="G69" s="20">
        <v>269.24</v>
      </c>
      <c r="H69" s="20">
        <v>251.58</v>
      </c>
      <c r="I69" s="59">
        <f t="shared" si="1"/>
        <v>93.44079631555489</v>
      </c>
      <c r="J69" s="137">
        <v>51</v>
      </c>
      <c r="K69" s="20">
        <v>236.77</v>
      </c>
      <c r="L69" s="20">
        <v>251.58</v>
      </c>
      <c r="M69" s="59">
        <f t="shared" si="2"/>
        <v>14.810000000000002</v>
      </c>
      <c r="N69" s="59">
        <f t="shared" si="3"/>
        <v>6.255015415804367</v>
      </c>
      <c r="O69" s="137">
        <v>31</v>
      </c>
      <c r="Q69" s="117" t="s">
        <v>192</v>
      </c>
      <c r="R69" s="142">
        <v>48.71356580211024</v>
      </c>
      <c r="S69" s="119" t="s">
        <v>344</v>
      </c>
    </row>
    <row r="70" ht="13.5" thickTop="1"/>
    <row r="71" ht="14.25">
      <c r="B71" s="120" t="s">
        <v>285</v>
      </c>
    </row>
    <row r="84" spans="1:4" ht="12.75">
      <c r="A84" s="54"/>
      <c r="B84" s="54"/>
      <c r="C84" s="54"/>
      <c r="D84" s="54"/>
    </row>
    <row r="85" spans="1:4" ht="12.75">
      <c r="A85" s="54"/>
      <c r="B85" s="138"/>
      <c r="C85" s="122"/>
      <c r="D85" s="54"/>
    </row>
    <row r="86" spans="1:4" ht="12.75">
      <c r="A86" s="54"/>
      <c r="B86" s="138"/>
      <c r="C86" s="122"/>
      <c r="D86" s="54"/>
    </row>
    <row r="87" spans="1:4" ht="12.75">
      <c r="A87" s="54"/>
      <c r="B87" s="138"/>
      <c r="C87" s="122"/>
      <c r="D87" s="54"/>
    </row>
    <row r="88" spans="1:4" ht="12.75">
      <c r="A88" s="54"/>
      <c r="B88" s="138"/>
      <c r="C88" s="122"/>
      <c r="D88" s="54"/>
    </row>
    <row r="89" spans="1:4" ht="12.75">
      <c r="A89" s="54"/>
      <c r="B89" s="138"/>
      <c r="C89" s="122"/>
      <c r="D89" s="54"/>
    </row>
    <row r="90" spans="1:4" ht="12.75">
      <c r="A90" s="54"/>
      <c r="B90" s="138"/>
      <c r="C90" s="122"/>
      <c r="D90" s="54"/>
    </row>
    <row r="91" spans="1:4" ht="12.75">
      <c r="A91" s="54"/>
      <c r="B91" s="138"/>
      <c r="C91" s="122"/>
      <c r="D91" s="54"/>
    </row>
    <row r="92" spans="1:4" ht="12.75">
      <c r="A92" s="54"/>
      <c r="B92" s="138"/>
      <c r="C92" s="122"/>
      <c r="D92" s="54"/>
    </row>
    <row r="93" spans="1:4" ht="12.75">
      <c r="A93" s="54"/>
      <c r="B93" s="138"/>
      <c r="C93" s="122"/>
      <c r="D93" s="54"/>
    </row>
    <row r="94" spans="1:4" ht="12.75">
      <c r="A94" s="54"/>
      <c r="B94" s="138"/>
      <c r="C94" s="122"/>
      <c r="D94" s="54"/>
    </row>
    <row r="95" spans="1:4" ht="12.75">
      <c r="A95" s="54"/>
      <c r="B95" s="138"/>
      <c r="C95" s="122"/>
      <c r="D95" s="54"/>
    </row>
    <row r="96" spans="1:4" ht="12.75">
      <c r="A96" s="54"/>
      <c r="B96" s="138"/>
      <c r="C96" s="122"/>
      <c r="D96" s="54"/>
    </row>
    <row r="97" spans="1:4" ht="12.75">
      <c r="A97" s="54"/>
      <c r="B97" s="138"/>
      <c r="C97" s="122"/>
      <c r="D97" s="54"/>
    </row>
    <row r="98" spans="1:4" ht="12.75">
      <c r="A98" s="54"/>
      <c r="B98" s="138"/>
      <c r="C98" s="122"/>
      <c r="D98" s="54"/>
    </row>
    <row r="99" spans="1:4" ht="12.75">
      <c r="A99" s="54"/>
      <c r="B99" s="138"/>
      <c r="C99" s="122"/>
      <c r="D99" s="54"/>
    </row>
    <row r="100" spans="1:4" ht="12.75">
      <c r="A100" s="54"/>
      <c r="B100" s="138"/>
      <c r="C100" s="122"/>
      <c r="D100" s="54"/>
    </row>
    <row r="101" spans="1:4" ht="12.75">
      <c r="A101" s="54"/>
      <c r="B101" s="138"/>
      <c r="C101" s="122"/>
      <c r="D101" s="54"/>
    </row>
    <row r="102" spans="1:4" ht="12.75">
      <c r="A102" s="54"/>
      <c r="B102" s="138"/>
      <c r="C102" s="122"/>
      <c r="D102" s="54"/>
    </row>
    <row r="103" spans="1:4" ht="12.75">
      <c r="A103" s="54"/>
      <c r="B103" s="138"/>
      <c r="C103" s="122"/>
      <c r="D103" s="54"/>
    </row>
    <row r="104" spans="1:4" ht="12.75">
      <c r="A104" s="54"/>
      <c r="B104" s="138"/>
      <c r="C104" s="122"/>
      <c r="D104" s="54"/>
    </row>
    <row r="105" spans="1:4" ht="12.75">
      <c r="A105" s="54"/>
      <c r="B105" s="138"/>
      <c r="C105" s="122"/>
      <c r="D105" s="54"/>
    </row>
    <row r="106" spans="1:4" ht="12.75">
      <c r="A106" s="54"/>
      <c r="B106" s="138"/>
      <c r="C106" s="122"/>
      <c r="D106" s="54"/>
    </row>
    <row r="107" spans="1:4" ht="12.75">
      <c r="A107" s="54"/>
      <c r="B107" s="138"/>
      <c r="C107" s="122"/>
      <c r="D107" s="54"/>
    </row>
    <row r="108" spans="1:4" ht="12.75">
      <c r="A108" s="54"/>
      <c r="B108" s="138"/>
      <c r="C108" s="122"/>
      <c r="D108" s="54"/>
    </row>
    <row r="109" spans="1:4" ht="12.75">
      <c r="A109" s="54"/>
      <c r="B109" s="138"/>
      <c r="C109" s="122"/>
      <c r="D109" s="54"/>
    </row>
    <row r="110" spans="1:4" ht="12.75">
      <c r="A110" s="54"/>
      <c r="B110" s="138"/>
      <c r="C110" s="122"/>
      <c r="D110" s="54"/>
    </row>
    <row r="111" spans="1:4" ht="12.75">
      <c r="A111" s="54"/>
      <c r="B111" s="138"/>
      <c r="C111" s="122"/>
      <c r="D111" s="54"/>
    </row>
    <row r="112" spans="1:4" ht="12.75">
      <c r="A112" s="54"/>
      <c r="B112" s="138"/>
      <c r="C112" s="122"/>
      <c r="D112" s="54"/>
    </row>
    <row r="113" spans="1:4" ht="12.75">
      <c r="A113" s="54"/>
      <c r="B113" s="138"/>
      <c r="C113" s="122"/>
      <c r="D113" s="54"/>
    </row>
    <row r="114" spans="1:4" ht="12.75">
      <c r="A114" s="54"/>
      <c r="B114" s="138"/>
      <c r="C114" s="122"/>
      <c r="D114" s="54"/>
    </row>
    <row r="115" spans="1:4" ht="12.75">
      <c r="A115" s="54"/>
      <c r="B115" s="138"/>
      <c r="C115" s="122"/>
      <c r="D115" s="54"/>
    </row>
    <row r="116" spans="1:4" ht="12.75">
      <c r="A116" s="54"/>
      <c r="B116" s="138"/>
      <c r="C116" s="122"/>
      <c r="D116" s="54"/>
    </row>
    <row r="117" spans="1:4" ht="12.75">
      <c r="A117" s="54"/>
      <c r="B117" s="138"/>
      <c r="C117" s="122"/>
      <c r="D117" s="54"/>
    </row>
    <row r="118" spans="1:4" ht="12.75">
      <c r="A118" s="54"/>
      <c r="B118" s="138"/>
      <c r="C118" s="122"/>
      <c r="D118" s="54"/>
    </row>
    <row r="119" spans="1:4" ht="12.75">
      <c r="A119" s="54"/>
      <c r="B119" s="138"/>
      <c r="C119" s="122"/>
      <c r="D119" s="54"/>
    </row>
    <row r="120" spans="1:4" ht="12.75">
      <c r="A120" s="54"/>
      <c r="B120" s="138"/>
      <c r="C120" s="122"/>
      <c r="D120" s="54"/>
    </row>
    <row r="121" spans="1:4" ht="12.75">
      <c r="A121" s="54"/>
      <c r="B121" s="138"/>
      <c r="C121" s="122"/>
      <c r="D121" s="54"/>
    </row>
    <row r="122" spans="1:4" ht="12.75">
      <c r="A122" s="54"/>
      <c r="B122" s="138"/>
      <c r="C122" s="122"/>
      <c r="D122" s="54"/>
    </row>
    <row r="123" spans="1:4" ht="12.75">
      <c r="A123" s="54"/>
      <c r="B123" s="138"/>
      <c r="C123" s="122"/>
      <c r="D123" s="54"/>
    </row>
    <row r="124" spans="1:4" ht="12.75">
      <c r="A124" s="54"/>
      <c r="B124" s="138"/>
      <c r="C124" s="122"/>
      <c r="D124" s="54"/>
    </row>
    <row r="125" spans="1:4" ht="12.75">
      <c r="A125" s="54"/>
      <c r="B125" s="138"/>
      <c r="C125" s="122"/>
      <c r="D125" s="54"/>
    </row>
    <row r="126" spans="1:4" ht="12.75">
      <c r="A126" s="54"/>
      <c r="B126" s="138"/>
      <c r="C126" s="122"/>
      <c r="D126" s="54"/>
    </row>
    <row r="127" spans="1:4" ht="12.75">
      <c r="A127" s="54"/>
      <c r="B127" s="138"/>
      <c r="C127" s="122"/>
      <c r="D127" s="54"/>
    </row>
    <row r="128" spans="1:4" ht="12.75">
      <c r="A128" s="54"/>
      <c r="B128" s="138"/>
      <c r="C128" s="122"/>
      <c r="D128" s="54"/>
    </row>
    <row r="129" spans="1:4" ht="12.75">
      <c r="A129" s="54"/>
      <c r="B129" s="138"/>
      <c r="C129" s="122"/>
      <c r="D129" s="54"/>
    </row>
    <row r="130" spans="1:4" ht="12.75">
      <c r="A130" s="54"/>
      <c r="B130" s="138"/>
      <c r="C130" s="122"/>
      <c r="D130" s="54"/>
    </row>
    <row r="131" spans="1:4" ht="12.75">
      <c r="A131" s="54"/>
      <c r="B131" s="138"/>
      <c r="C131" s="122"/>
      <c r="D131" s="54"/>
    </row>
    <row r="132" spans="1:4" ht="12.75">
      <c r="A132" s="54"/>
      <c r="B132" s="138"/>
      <c r="C132" s="122"/>
      <c r="D132" s="54"/>
    </row>
    <row r="133" spans="1:4" ht="12.75">
      <c r="A133" s="54"/>
      <c r="B133" s="138"/>
      <c r="C133" s="122"/>
      <c r="D133" s="54"/>
    </row>
    <row r="134" spans="1:4" ht="12.75">
      <c r="A134" s="54"/>
      <c r="B134" s="138"/>
      <c r="C134" s="122"/>
      <c r="D134" s="54"/>
    </row>
    <row r="135" spans="1:4" ht="12.75">
      <c r="A135" s="54"/>
      <c r="B135" s="138"/>
      <c r="C135" s="122"/>
      <c r="D135" s="54"/>
    </row>
    <row r="136" spans="1:4" ht="12.75">
      <c r="A136" s="54"/>
      <c r="B136" s="138"/>
      <c r="C136" s="122"/>
      <c r="D136" s="54"/>
    </row>
    <row r="137" spans="1:4" ht="12.75">
      <c r="A137" s="54"/>
      <c r="B137" s="138"/>
      <c r="C137" s="122"/>
      <c r="D137" s="54"/>
    </row>
    <row r="138" spans="1:4" ht="12.75">
      <c r="A138" s="54"/>
      <c r="B138" s="138"/>
      <c r="C138" s="122"/>
      <c r="D138" s="54"/>
    </row>
    <row r="139" spans="1:4" ht="12.75">
      <c r="A139" s="54"/>
      <c r="B139" s="138"/>
      <c r="C139" s="122"/>
      <c r="D139" s="54"/>
    </row>
    <row r="140" spans="1:4" ht="12.75">
      <c r="A140" s="54"/>
      <c r="B140" s="138"/>
      <c r="C140" s="122"/>
      <c r="D140" s="54"/>
    </row>
    <row r="141" spans="1:4" ht="12.75">
      <c r="A141" s="54"/>
      <c r="B141" s="138"/>
      <c r="C141" s="122"/>
      <c r="D141" s="54"/>
    </row>
    <row r="142" spans="1:4" ht="12.75">
      <c r="A142" s="54"/>
      <c r="B142" s="138"/>
      <c r="C142" s="122"/>
      <c r="D142" s="54"/>
    </row>
    <row r="143" spans="1:4" ht="12.75">
      <c r="A143" s="54"/>
      <c r="B143" s="138"/>
      <c r="C143" s="122"/>
      <c r="D143" s="54"/>
    </row>
    <row r="144" spans="1:4" ht="12.75">
      <c r="A144" s="54"/>
      <c r="B144" s="138"/>
      <c r="C144" s="122"/>
      <c r="D144" s="54"/>
    </row>
    <row r="145" spans="1:4" ht="12.75">
      <c r="A145" s="54"/>
      <c r="B145" s="138"/>
      <c r="C145" s="122"/>
      <c r="D145" s="54"/>
    </row>
    <row r="146" spans="1:4" ht="12.75">
      <c r="A146" s="54"/>
      <c r="B146" s="138"/>
      <c r="C146" s="122"/>
      <c r="D146" s="54"/>
    </row>
    <row r="147" spans="1:4" ht="12.75">
      <c r="A147" s="54"/>
      <c r="B147" s="138"/>
      <c r="C147" s="122"/>
      <c r="D147" s="54"/>
    </row>
    <row r="148" spans="1:4" ht="12.75">
      <c r="A148" s="54"/>
      <c r="B148" s="54"/>
      <c r="C148" s="54"/>
      <c r="D148" s="54"/>
    </row>
    <row r="149" spans="1:4" ht="12.75">
      <c r="A149" s="54"/>
      <c r="B149" s="54"/>
      <c r="C149" s="54"/>
      <c r="D149" s="54"/>
    </row>
    <row r="150" spans="1:4" ht="12.75">
      <c r="A150" s="54"/>
      <c r="B150" s="54"/>
      <c r="C150" s="54"/>
      <c r="D150" s="54"/>
    </row>
    <row r="151" spans="1:4" ht="12.75">
      <c r="A151" s="54"/>
      <c r="B151" s="54"/>
      <c r="C151" s="54"/>
      <c r="D151" s="54"/>
    </row>
  </sheetData>
  <mergeCells count="11">
    <mergeCell ref="Q4:Q5"/>
    <mergeCell ref="R4:R5"/>
    <mergeCell ref="S4:S5"/>
    <mergeCell ref="A1:S1"/>
    <mergeCell ref="A2:S2"/>
    <mergeCell ref="A3:S3"/>
    <mergeCell ref="A4:A5"/>
    <mergeCell ref="B4:B5"/>
    <mergeCell ref="C4:F4"/>
    <mergeCell ref="G4:J4"/>
    <mergeCell ref="K4:O4"/>
  </mergeCells>
  <printOptions/>
  <pageMargins left="0.22" right="0.26" top="1" bottom="1" header="0.5" footer="0.5"/>
  <pageSetup horizontalDpi="300" verticalDpi="3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86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3.8515625" style="0" customWidth="1"/>
    <col min="2" max="2" width="20.140625" style="0" customWidth="1"/>
    <col min="3" max="3" width="8.140625" style="0" customWidth="1"/>
    <col min="4" max="4" width="7.57421875" style="0" customWidth="1"/>
    <col min="5" max="5" width="6.28125" style="0" customWidth="1"/>
    <col min="6" max="6" width="4.7109375" style="0" customWidth="1"/>
    <col min="7" max="7" width="7.8515625" style="0" customWidth="1"/>
    <col min="8" max="8" width="7.421875" style="0" customWidth="1"/>
    <col min="9" max="9" width="6.57421875" style="0" customWidth="1"/>
    <col min="10" max="10" width="4.8515625" style="0" customWidth="1"/>
    <col min="11" max="11" width="7.7109375" style="0" customWidth="1"/>
    <col min="12" max="12" width="7.57421875" style="0" customWidth="1"/>
    <col min="13" max="13" width="8.00390625" style="0" customWidth="1"/>
    <col min="14" max="14" width="6.57421875" style="0" customWidth="1"/>
    <col min="15" max="15" width="4.7109375" style="0" customWidth="1"/>
    <col min="16" max="16" width="1.8515625" style="0" customWidth="1"/>
    <col min="17" max="17" width="20.28125" style="0" customWidth="1"/>
    <col min="18" max="18" width="11.28125" style="0" customWidth="1"/>
    <col min="19" max="19" width="6.57421875" style="0" customWidth="1"/>
  </cols>
  <sheetData>
    <row r="1" spans="1:19" ht="18">
      <c r="A1" s="215" t="s">
        <v>346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23.25" customHeight="1">
      <c r="A2" s="216" t="s">
        <v>256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21" thickBot="1">
      <c r="A3" s="217" t="s">
        <v>347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s="107" customFormat="1" ht="51" customHeight="1" thickBot="1" thickTop="1">
      <c r="A4" s="218" t="s">
        <v>258</v>
      </c>
      <c r="B4" s="218" t="s">
        <v>348</v>
      </c>
      <c r="C4" s="219" t="s">
        <v>260</v>
      </c>
      <c r="D4" s="219"/>
      <c r="E4" s="219"/>
      <c r="F4" s="219"/>
      <c r="G4" s="219" t="s">
        <v>261</v>
      </c>
      <c r="H4" s="219"/>
      <c r="I4" s="219"/>
      <c r="J4" s="219"/>
      <c r="K4" s="219" t="s">
        <v>262</v>
      </c>
      <c r="L4" s="219"/>
      <c r="M4" s="219"/>
      <c r="N4" s="219"/>
      <c r="O4" s="219"/>
      <c r="P4" s="106"/>
      <c r="Q4" s="222" t="s">
        <v>348</v>
      </c>
      <c r="R4" s="214" t="s">
        <v>263</v>
      </c>
      <c r="S4" s="221" t="s">
        <v>264</v>
      </c>
    </row>
    <row r="5" spans="1:19" s="107" customFormat="1" ht="95.25" customHeight="1" thickBot="1" thickTop="1">
      <c r="A5" s="218"/>
      <c r="B5" s="218"/>
      <c r="C5" s="130" t="s">
        <v>6</v>
      </c>
      <c r="D5" s="130" t="s">
        <v>15</v>
      </c>
      <c r="E5" s="130" t="s">
        <v>265</v>
      </c>
      <c r="F5" s="130" t="s">
        <v>266</v>
      </c>
      <c r="G5" s="130" t="s">
        <v>39</v>
      </c>
      <c r="H5" s="130" t="s">
        <v>244</v>
      </c>
      <c r="I5" s="130" t="s">
        <v>265</v>
      </c>
      <c r="J5" s="130" t="s">
        <v>266</v>
      </c>
      <c r="K5" s="130" t="s">
        <v>267</v>
      </c>
      <c r="L5" s="130" t="s">
        <v>268</v>
      </c>
      <c r="M5" s="130" t="s">
        <v>269</v>
      </c>
      <c r="N5" s="130" t="s">
        <v>265</v>
      </c>
      <c r="O5" s="131" t="s">
        <v>266</v>
      </c>
      <c r="P5" s="110"/>
      <c r="Q5" s="222"/>
      <c r="R5" s="214"/>
      <c r="S5" s="221"/>
    </row>
    <row r="6" spans="1:19" s="107" customFormat="1" ht="18.75" customHeight="1" thickBot="1" thickTop="1">
      <c r="A6" s="111">
        <v>1</v>
      </c>
      <c r="B6" s="111">
        <v>2</v>
      </c>
      <c r="C6" s="111">
        <v>3</v>
      </c>
      <c r="D6" s="111">
        <v>4</v>
      </c>
      <c r="E6" s="111">
        <v>5</v>
      </c>
      <c r="F6" s="111">
        <v>6</v>
      </c>
      <c r="G6" s="111">
        <v>7</v>
      </c>
      <c r="H6" s="111">
        <v>8</v>
      </c>
      <c r="I6" s="111">
        <v>9</v>
      </c>
      <c r="J6" s="111">
        <v>10</v>
      </c>
      <c r="K6" s="111">
        <v>11</v>
      </c>
      <c r="L6" s="111">
        <v>12</v>
      </c>
      <c r="M6" s="111">
        <v>13</v>
      </c>
      <c r="N6" s="111">
        <v>14</v>
      </c>
      <c r="O6" s="111">
        <v>15</v>
      </c>
      <c r="P6" s="143"/>
      <c r="Q6" s="113">
        <v>16</v>
      </c>
      <c r="R6" s="113" t="s">
        <v>270</v>
      </c>
      <c r="S6" s="133">
        <v>18</v>
      </c>
    </row>
    <row r="7" spans="1:19" ht="18" customHeight="1" thickBot="1" thickTop="1">
      <c r="A7" s="20">
        <v>1</v>
      </c>
      <c r="B7" s="79" t="s">
        <v>159</v>
      </c>
      <c r="C7" s="20">
        <v>14796.21</v>
      </c>
      <c r="D7" s="59">
        <v>1426.87</v>
      </c>
      <c r="E7" s="59">
        <f>D7/C7*100</f>
        <v>9.643483027072474</v>
      </c>
      <c r="F7" s="116">
        <v>12</v>
      </c>
      <c r="G7" s="59">
        <v>1714.05</v>
      </c>
      <c r="H7" s="59">
        <v>1426.87</v>
      </c>
      <c r="I7" s="59">
        <f>H7/G7*100</f>
        <v>83.24552959365246</v>
      </c>
      <c r="J7" s="116">
        <v>7</v>
      </c>
      <c r="K7" s="59">
        <v>1388.4</v>
      </c>
      <c r="L7" s="59">
        <v>1426.87</v>
      </c>
      <c r="M7" s="59">
        <f>L7-K7</f>
        <v>38.4699999999998</v>
      </c>
      <c r="N7" s="59">
        <f>M7/K7*100</f>
        <v>2.7708153269950877</v>
      </c>
      <c r="O7" s="116">
        <v>13</v>
      </c>
      <c r="Q7" s="117" t="s">
        <v>234</v>
      </c>
      <c r="R7" s="118">
        <v>165.20424466018068</v>
      </c>
      <c r="S7" s="144" t="s">
        <v>271</v>
      </c>
    </row>
    <row r="8" spans="1:19" ht="18" customHeight="1" thickBot="1" thickTop="1">
      <c r="A8" s="20">
        <v>2</v>
      </c>
      <c r="B8" s="79" t="s">
        <v>160</v>
      </c>
      <c r="C8" s="20">
        <v>2892.84</v>
      </c>
      <c r="D8" s="59">
        <v>383.33</v>
      </c>
      <c r="E8" s="59">
        <f aca="true" t="shared" si="0" ref="E8:E26">D8/C8*100</f>
        <v>13.250992104644569</v>
      </c>
      <c r="F8" s="116">
        <v>8</v>
      </c>
      <c r="G8" s="59">
        <v>587.56</v>
      </c>
      <c r="H8" s="59">
        <v>383.33</v>
      </c>
      <c r="I8" s="59">
        <f aca="true" t="shared" si="1" ref="I8:I26">H8/G8*100</f>
        <v>65.24099666417047</v>
      </c>
      <c r="J8" s="116">
        <v>12</v>
      </c>
      <c r="K8" s="59">
        <v>326.74</v>
      </c>
      <c r="L8" s="59">
        <v>383.33</v>
      </c>
      <c r="M8" s="59">
        <f aca="true" t="shared" si="2" ref="M8:M26">L8-K8</f>
        <v>56.589999999999975</v>
      </c>
      <c r="N8" s="59">
        <f aca="true" t="shared" si="3" ref="N8:N26">M8/K8*100</f>
        <v>17.319581318479514</v>
      </c>
      <c r="O8" s="116">
        <v>7</v>
      </c>
      <c r="Q8" s="117" t="s">
        <v>221</v>
      </c>
      <c r="R8" s="118">
        <v>142.111233837487</v>
      </c>
      <c r="S8" s="144" t="s">
        <v>272</v>
      </c>
    </row>
    <row r="9" spans="1:19" ht="18" customHeight="1" thickBot="1" thickTop="1">
      <c r="A9" s="20">
        <v>3</v>
      </c>
      <c r="B9" s="79" t="s">
        <v>161</v>
      </c>
      <c r="C9" s="20">
        <v>1463.28</v>
      </c>
      <c r="D9" s="59">
        <v>386.4</v>
      </c>
      <c r="E9" s="59">
        <f t="shared" si="0"/>
        <v>26.406429391504016</v>
      </c>
      <c r="F9" s="116">
        <v>3</v>
      </c>
      <c r="G9" s="59">
        <v>538.64</v>
      </c>
      <c r="H9" s="59">
        <v>386.4</v>
      </c>
      <c r="I9" s="59">
        <f t="shared" si="1"/>
        <v>71.73622456557254</v>
      </c>
      <c r="J9" s="116">
        <v>11</v>
      </c>
      <c r="K9" s="59">
        <v>368.71</v>
      </c>
      <c r="L9" s="59">
        <v>386.4</v>
      </c>
      <c r="M9" s="59">
        <f t="shared" si="2"/>
        <v>17.689999999999998</v>
      </c>
      <c r="N9" s="59">
        <f t="shared" si="3"/>
        <v>4.797808575845515</v>
      </c>
      <c r="O9" s="116">
        <v>12</v>
      </c>
      <c r="Q9" s="117" t="s">
        <v>223</v>
      </c>
      <c r="R9" s="118">
        <v>138.48747873857369</v>
      </c>
      <c r="S9" s="144" t="s">
        <v>273</v>
      </c>
    </row>
    <row r="10" spans="1:19" ht="18" customHeight="1" thickBot="1" thickTop="1">
      <c r="A10" s="20">
        <v>4</v>
      </c>
      <c r="B10" s="85" t="s">
        <v>164</v>
      </c>
      <c r="C10" s="20">
        <v>30443.45</v>
      </c>
      <c r="D10" s="59">
        <v>1324.02</v>
      </c>
      <c r="E10" s="59">
        <f t="shared" si="0"/>
        <v>4.349112863358127</v>
      </c>
      <c r="F10" s="116">
        <v>18</v>
      </c>
      <c r="G10" s="59">
        <v>1466.63</v>
      </c>
      <c r="H10" s="59">
        <v>1324.02</v>
      </c>
      <c r="I10" s="59">
        <f t="shared" si="1"/>
        <v>90.27634781778634</v>
      </c>
      <c r="J10" s="116">
        <v>3</v>
      </c>
      <c r="K10" s="59">
        <v>1171.94</v>
      </c>
      <c r="L10" s="59">
        <v>1324.02</v>
      </c>
      <c r="M10" s="59">
        <f t="shared" si="2"/>
        <v>152.07999999999993</v>
      </c>
      <c r="N10" s="59">
        <f t="shared" si="3"/>
        <v>12.976773554960145</v>
      </c>
      <c r="O10" s="116">
        <v>9</v>
      </c>
      <c r="Q10" s="117" t="s">
        <v>180</v>
      </c>
      <c r="R10" s="118">
        <v>119.45380300040969</v>
      </c>
      <c r="S10" s="144" t="s">
        <v>274</v>
      </c>
    </row>
    <row r="11" spans="1:19" ht="18" customHeight="1" thickBot="1" thickTop="1">
      <c r="A11" s="20">
        <v>5</v>
      </c>
      <c r="B11" s="85" t="s">
        <v>237</v>
      </c>
      <c r="C11" s="20">
        <v>2783.95</v>
      </c>
      <c r="D11" s="59">
        <v>214.94</v>
      </c>
      <c r="E11" s="59">
        <f t="shared" si="0"/>
        <v>7.720684638732736</v>
      </c>
      <c r="F11" s="116">
        <v>15</v>
      </c>
      <c r="G11" s="59">
        <v>264.68</v>
      </c>
      <c r="H11" s="59">
        <v>214.94</v>
      </c>
      <c r="I11" s="59">
        <f t="shared" si="1"/>
        <v>81.20749584403808</v>
      </c>
      <c r="J11" s="116">
        <v>9</v>
      </c>
      <c r="K11" s="59">
        <v>188.65</v>
      </c>
      <c r="L11" s="59">
        <v>214.94</v>
      </c>
      <c r="M11" s="59">
        <f t="shared" si="2"/>
        <v>26.289999999999992</v>
      </c>
      <c r="N11" s="59">
        <f t="shared" si="3"/>
        <v>13.935860058309032</v>
      </c>
      <c r="O11" s="116">
        <v>8</v>
      </c>
      <c r="Q11" s="117" t="s">
        <v>164</v>
      </c>
      <c r="R11" s="118">
        <v>107.60223423610462</v>
      </c>
      <c r="S11" s="144" t="s">
        <v>275</v>
      </c>
    </row>
    <row r="12" spans="1:19" ht="18" customHeight="1" thickBot="1" thickTop="1">
      <c r="A12" s="20">
        <v>6</v>
      </c>
      <c r="B12" s="85" t="s">
        <v>180</v>
      </c>
      <c r="C12" s="20">
        <v>2162.14</v>
      </c>
      <c r="D12" s="59">
        <v>341.05</v>
      </c>
      <c r="E12" s="59">
        <f t="shared" si="0"/>
        <v>15.773724180672854</v>
      </c>
      <c r="F12" s="116">
        <v>6</v>
      </c>
      <c r="G12" s="59">
        <v>399.8</v>
      </c>
      <c r="H12" s="59">
        <v>341.05</v>
      </c>
      <c r="I12" s="59">
        <f t="shared" si="1"/>
        <v>85.30515257628815</v>
      </c>
      <c r="J12" s="116">
        <v>5</v>
      </c>
      <c r="K12" s="59">
        <v>288.11</v>
      </c>
      <c r="L12" s="59">
        <v>341.05</v>
      </c>
      <c r="M12" s="59">
        <f t="shared" si="2"/>
        <v>52.94</v>
      </c>
      <c r="N12" s="59">
        <f t="shared" si="3"/>
        <v>18.37492624344868</v>
      </c>
      <c r="O12" s="116">
        <v>6</v>
      </c>
      <c r="Q12" s="117" t="s">
        <v>210</v>
      </c>
      <c r="R12" s="118">
        <v>107.52946030245138</v>
      </c>
      <c r="S12" s="144" t="s">
        <v>276</v>
      </c>
    </row>
    <row r="13" spans="1:19" ht="18" customHeight="1" thickBot="1" thickTop="1">
      <c r="A13" s="20">
        <v>7</v>
      </c>
      <c r="B13" s="85" t="s">
        <v>185</v>
      </c>
      <c r="C13" s="20">
        <v>3475.16</v>
      </c>
      <c r="D13" s="59">
        <v>600.65</v>
      </c>
      <c r="E13" s="59">
        <f t="shared" si="0"/>
        <v>17.284096271826332</v>
      </c>
      <c r="F13" s="116">
        <v>5</v>
      </c>
      <c r="G13" s="59">
        <v>654.71</v>
      </c>
      <c r="H13" s="59">
        <v>600.65</v>
      </c>
      <c r="I13" s="59">
        <f t="shared" si="1"/>
        <v>91.7429090742466</v>
      </c>
      <c r="J13" s="116">
        <v>1</v>
      </c>
      <c r="K13" s="59">
        <v>637.34</v>
      </c>
      <c r="L13" s="59">
        <v>600.65</v>
      </c>
      <c r="M13" s="59">
        <f t="shared" si="2"/>
        <v>-36.690000000000055</v>
      </c>
      <c r="N13" s="59">
        <f t="shared" si="3"/>
        <v>-5.75673894624534</v>
      </c>
      <c r="O13" s="116">
        <v>14</v>
      </c>
      <c r="Q13" s="117" t="s">
        <v>185</v>
      </c>
      <c r="R13" s="118">
        <v>103.27026639982759</v>
      </c>
      <c r="S13" s="144" t="s">
        <v>277</v>
      </c>
    </row>
    <row r="14" spans="1:19" ht="18" customHeight="1" thickBot="1" thickTop="1">
      <c r="A14" s="20">
        <v>8</v>
      </c>
      <c r="B14" s="85" t="s">
        <v>238</v>
      </c>
      <c r="C14" s="20">
        <v>3281.58</v>
      </c>
      <c r="D14" s="59">
        <v>320.84</v>
      </c>
      <c r="E14" s="59">
        <f t="shared" si="0"/>
        <v>9.776997665758568</v>
      </c>
      <c r="F14" s="116">
        <v>11</v>
      </c>
      <c r="G14" s="59">
        <v>383.41</v>
      </c>
      <c r="H14" s="59">
        <v>320.84</v>
      </c>
      <c r="I14" s="59">
        <f t="shared" si="1"/>
        <v>83.68065517331316</v>
      </c>
      <c r="J14" s="116">
        <v>6</v>
      </c>
      <c r="K14" s="59">
        <v>301.54</v>
      </c>
      <c r="L14" s="59">
        <v>320.84</v>
      </c>
      <c r="M14" s="59">
        <f t="shared" si="2"/>
        <v>19.299999999999955</v>
      </c>
      <c r="N14" s="59">
        <f t="shared" si="3"/>
        <v>6.40047754858392</v>
      </c>
      <c r="O14" s="116">
        <v>10</v>
      </c>
      <c r="Q14" s="117" t="s">
        <v>161</v>
      </c>
      <c r="R14" s="118">
        <v>102.94046253292208</v>
      </c>
      <c r="S14" s="144" t="s">
        <v>278</v>
      </c>
    </row>
    <row r="15" spans="1:19" ht="18" customHeight="1" thickBot="1" thickTop="1">
      <c r="A15" s="20">
        <v>9</v>
      </c>
      <c r="B15" s="85" t="s">
        <v>239</v>
      </c>
      <c r="C15" s="20">
        <v>3687.89</v>
      </c>
      <c r="D15" s="59">
        <v>128.58</v>
      </c>
      <c r="E15" s="59">
        <f t="shared" si="0"/>
        <v>3.486546507623601</v>
      </c>
      <c r="F15" s="116">
        <v>19</v>
      </c>
      <c r="G15" s="59">
        <v>145.19</v>
      </c>
      <c r="H15" s="59">
        <v>128.58</v>
      </c>
      <c r="I15" s="59">
        <f t="shared" si="1"/>
        <v>88.55981816929541</v>
      </c>
      <c r="J15" s="116">
        <v>4</v>
      </c>
      <c r="K15" s="59">
        <v>122.33</v>
      </c>
      <c r="L15" s="59">
        <v>128.58</v>
      </c>
      <c r="M15" s="59">
        <f t="shared" si="2"/>
        <v>6.250000000000014</v>
      </c>
      <c r="N15" s="59">
        <f t="shared" si="3"/>
        <v>5.1091310389929</v>
      </c>
      <c r="O15" s="116">
        <v>11</v>
      </c>
      <c r="Q15" s="117" t="s">
        <v>237</v>
      </c>
      <c r="R15" s="118">
        <v>102.86404054107985</v>
      </c>
      <c r="S15" s="144" t="s">
        <v>279</v>
      </c>
    </row>
    <row r="16" spans="1:19" ht="18" customHeight="1" thickBot="1" thickTop="1">
      <c r="A16" s="20">
        <v>10</v>
      </c>
      <c r="B16" s="85" t="s">
        <v>198</v>
      </c>
      <c r="C16" s="20">
        <v>32314.38</v>
      </c>
      <c r="D16" s="59">
        <v>2929.12</v>
      </c>
      <c r="E16" s="59">
        <f t="shared" si="0"/>
        <v>9.064447468897747</v>
      </c>
      <c r="F16" s="116">
        <v>13</v>
      </c>
      <c r="G16" s="59">
        <v>4628.74</v>
      </c>
      <c r="H16" s="59">
        <v>2929.12</v>
      </c>
      <c r="I16" s="59">
        <f t="shared" si="1"/>
        <v>63.28115210618872</v>
      </c>
      <c r="J16" s="116">
        <v>14</v>
      </c>
      <c r="K16" s="59">
        <v>3551.3</v>
      </c>
      <c r="L16" s="59">
        <v>2929.12</v>
      </c>
      <c r="M16" s="59">
        <f t="shared" si="2"/>
        <v>-622.1800000000003</v>
      </c>
      <c r="N16" s="59">
        <f t="shared" si="3"/>
        <v>-17.519781488469018</v>
      </c>
      <c r="O16" s="116">
        <v>18</v>
      </c>
      <c r="Q16" s="117" t="s">
        <v>238</v>
      </c>
      <c r="R16" s="118">
        <v>99.85813038765565</v>
      </c>
      <c r="S16" s="144" t="s">
        <v>280</v>
      </c>
    </row>
    <row r="17" spans="1:19" ht="18" customHeight="1" thickBot="1" thickTop="1">
      <c r="A17" s="20">
        <v>11</v>
      </c>
      <c r="B17" s="85" t="s">
        <v>199</v>
      </c>
      <c r="C17" s="20">
        <v>5834.4</v>
      </c>
      <c r="D17" s="59">
        <v>728.58</v>
      </c>
      <c r="E17" s="59">
        <f t="shared" si="0"/>
        <v>12.487659399424107</v>
      </c>
      <c r="F17" s="116">
        <v>9</v>
      </c>
      <c r="G17" s="59">
        <v>1562.59</v>
      </c>
      <c r="H17" s="59">
        <v>728.58</v>
      </c>
      <c r="I17" s="59">
        <f t="shared" si="1"/>
        <v>46.62643431738333</v>
      </c>
      <c r="J17" s="116">
        <v>20</v>
      </c>
      <c r="K17" s="59">
        <v>841.17</v>
      </c>
      <c r="L17" s="59">
        <v>728.58</v>
      </c>
      <c r="M17" s="59">
        <f t="shared" si="2"/>
        <v>-112.58999999999992</v>
      </c>
      <c r="N17" s="59">
        <f t="shared" si="3"/>
        <v>-13.384928135810824</v>
      </c>
      <c r="O17" s="116">
        <v>16</v>
      </c>
      <c r="Q17" s="117" t="s">
        <v>239</v>
      </c>
      <c r="R17" s="118">
        <v>97.15549571591191</v>
      </c>
      <c r="S17" s="144" t="s">
        <v>281</v>
      </c>
    </row>
    <row r="18" spans="1:19" ht="18" customHeight="1" thickBot="1" thickTop="1">
      <c r="A18" s="20">
        <v>12</v>
      </c>
      <c r="B18" s="85" t="s">
        <v>197</v>
      </c>
      <c r="C18" s="20">
        <v>8088.39</v>
      </c>
      <c r="D18" s="59">
        <v>388.97</v>
      </c>
      <c r="E18" s="59">
        <f t="shared" si="0"/>
        <v>4.808991653468738</v>
      </c>
      <c r="F18" s="116">
        <v>17</v>
      </c>
      <c r="G18" s="59">
        <v>633.7900000000009</v>
      </c>
      <c r="H18" s="59">
        <v>388.97</v>
      </c>
      <c r="I18" s="59">
        <f t="shared" si="1"/>
        <v>61.37206330172447</v>
      </c>
      <c r="J18" s="116">
        <v>15</v>
      </c>
      <c r="K18" s="59">
        <v>792.93</v>
      </c>
      <c r="L18" s="59">
        <v>388.97</v>
      </c>
      <c r="M18" s="59">
        <f t="shared" si="2"/>
        <v>-403.9599999999999</v>
      </c>
      <c r="N18" s="59">
        <f t="shared" si="3"/>
        <v>-50.94522845648417</v>
      </c>
      <c r="O18" s="116">
        <v>20</v>
      </c>
      <c r="Q18" s="117" t="s">
        <v>160</v>
      </c>
      <c r="R18" s="118">
        <v>95.81157008729454</v>
      </c>
      <c r="S18" s="144" t="s">
        <v>282</v>
      </c>
    </row>
    <row r="19" spans="1:19" ht="18" customHeight="1" thickBot="1" thickTop="1">
      <c r="A19" s="20">
        <v>13</v>
      </c>
      <c r="B19" s="85" t="s">
        <v>240</v>
      </c>
      <c r="C19" s="20">
        <v>9518.53</v>
      </c>
      <c r="D19" s="59">
        <v>1072.51</v>
      </c>
      <c r="E19" s="59">
        <f t="shared" si="0"/>
        <v>11.267601194722292</v>
      </c>
      <c r="F19" s="116">
        <v>10</v>
      </c>
      <c r="G19" s="59">
        <v>1868.69</v>
      </c>
      <c r="H19" s="59">
        <v>1072.51</v>
      </c>
      <c r="I19" s="59">
        <f t="shared" si="1"/>
        <v>57.393682205181165</v>
      </c>
      <c r="J19" s="116">
        <v>19</v>
      </c>
      <c r="K19" s="59">
        <v>1278.1</v>
      </c>
      <c r="L19" s="59">
        <v>1072.51</v>
      </c>
      <c r="M19" s="59">
        <f t="shared" si="2"/>
        <v>-205.58999999999992</v>
      </c>
      <c r="N19" s="59">
        <f t="shared" si="3"/>
        <v>-16.085595806274934</v>
      </c>
      <c r="O19" s="116">
        <v>17</v>
      </c>
      <c r="Q19" s="117" t="s">
        <v>159</v>
      </c>
      <c r="R19" s="118">
        <v>95.65982794772003</v>
      </c>
      <c r="S19" s="144" t="s">
        <v>283</v>
      </c>
    </row>
    <row r="20" spans="1:19" ht="18" customHeight="1" thickBot="1" thickTop="1">
      <c r="A20" s="20">
        <v>14</v>
      </c>
      <c r="B20" s="85" t="s">
        <v>210</v>
      </c>
      <c r="C20" s="20">
        <v>33850.86</v>
      </c>
      <c r="D20" s="59">
        <v>340.09</v>
      </c>
      <c r="E20" s="59">
        <f t="shared" si="0"/>
        <v>1.004671668607533</v>
      </c>
      <c r="F20" s="116">
        <v>20</v>
      </c>
      <c r="G20" s="59">
        <v>584.7200000000012</v>
      </c>
      <c r="H20" s="59">
        <v>340.09</v>
      </c>
      <c r="I20" s="59">
        <f t="shared" si="1"/>
        <v>58.162881379121515</v>
      </c>
      <c r="J20" s="116">
        <v>17</v>
      </c>
      <c r="K20" s="59">
        <v>229.23</v>
      </c>
      <c r="L20" s="59">
        <v>340.09</v>
      </c>
      <c r="M20" s="59">
        <f t="shared" si="2"/>
        <v>110.85999999999999</v>
      </c>
      <c r="N20" s="59">
        <f t="shared" si="3"/>
        <v>48.361907254722325</v>
      </c>
      <c r="O20" s="116">
        <v>2</v>
      </c>
      <c r="Q20" s="117" t="s">
        <v>208</v>
      </c>
      <c r="R20" s="118">
        <v>91.85979495491661</v>
      </c>
      <c r="S20" s="144" t="s">
        <v>284</v>
      </c>
    </row>
    <row r="21" spans="1:19" ht="15.75" thickBot="1" thickTop="1">
      <c r="A21" s="20">
        <v>15</v>
      </c>
      <c r="B21" s="85" t="s">
        <v>208</v>
      </c>
      <c r="C21" s="20">
        <v>3465.47</v>
      </c>
      <c r="D21" s="20">
        <v>291.52</v>
      </c>
      <c r="E21" s="59">
        <f t="shared" si="0"/>
        <v>8.412134573376772</v>
      </c>
      <c r="F21" s="20">
        <v>14</v>
      </c>
      <c r="G21" s="20">
        <v>458.55</v>
      </c>
      <c r="H21" s="20">
        <v>291.52</v>
      </c>
      <c r="I21" s="59">
        <f t="shared" si="1"/>
        <v>63.57431032602769</v>
      </c>
      <c r="J21" s="20">
        <v>13</v>
      </c>
      <c r="K21" s="20">
        <v>243.19</v>
      </c>
      <c r="L21" s="20">
        <v>291.52</v>
      </c>
      <c r="M21" s="59">
        <f t="shared" si="2"/>
        <v>48.329999999999984</v>
      </c>
      <c r="N21" s="59">
        <f t="shared" si="3"/>
        <v>19.873350055512145</v>
      </c>
      <c r="O21" s="136">
        <v>5</v>
      </c>
      <c r="Q21" s="117" t="s">
        <v>241</v>
      </c>
      <c r="R21" s="118">
        <v>88.32316383396653</v>
      </c>
      <c r="S21" s="144" t="s">
        <v>294</v>
      </c>
    </row>
    <row r="22" spans="1:19" s="67" customFormat="1" ht="15.75" thickBot="1" thickTop="1">
      <c r="A22" s="24">
        <v>16</v>
      </c>
      <c r="B22" s="85" t="s">
        <v>221</v>
      </c>
      <c r="C22" s="24">
        <v>4438.25</v>
      </c>
      <c r="D22" s="24">
        <v>1229.54</v>
      </c>
      <c r="E22" s="58">
        <f t="shared" si="0"/>
        <v>27.703261420604967</v>
      </c>
      <c r="F22" s="24">
        <v>1</v>
      </c>
      <c r="G22" s="24">
        <v>1496.89</v>
      </c>
      <c r="H22" s="24">
        <v>1229.54</v>
      </c>
      <c r="I22" s="58">
        <f t="shared" si="1"/>
        <v>82.13963617901115</v>
      </c>
      <c r="J22" s="24">
        <v>8</v>
      </c>
      <c r="K22" s="24">
        <v>929.58</v>
      </c>
      <c r="L22" s="24">
        <v>1229.54</v>
      </c>
      <c r="M22" s="58">
        <f t="shared" si="2"/>
        <v>299.9599999999999</v>
      </c>
      <c r="N22" s="58">
        <f t="shared" si="3"/>
        <v>32.26833623787086</v>
      </c>
      <c r="O22" s="137">
        <v>4</v>
      </c>
      <c r="Q22" s="117" t="s">
        <v>198</v>
      </c>
      <c r="R22" s="118">
        <v>54.825818086617446</v>
      </c>
      <c r="S22" s="144" t="s">
        <v>295</v>
      </c>
    </row>
    <row r="23" spans="1:19" ht="15.75" thickBot="1" thickTop="1">
      <c r="A23" s="20">
        <v>17</v>
      </c>
      <c r="B23" s="85" t="s">
        <v>229</v>
      </c>
      <c r="C23" s="20">
        <v>1437.24</v>
      </c>
      <c r="D23" s="20">
        <v>226.24</v>
      </c>
      <c r="E23" s="59">
        <f t="shared" si="0"/>
        <v>15.741281901422171</v>
      </c>
      <c r="F23" s="20">
        <v>7</v>
      </c>
      <c r="G23" s="20">
        <v>371.25</v>
      </c>
      <c r="H23" s="20">
        <v>226.24</v>
      </c>
      <c r="I23" s="59">
        <f t="shared" si="1"/>
        <v>60.94006734006734</v>
      </c>
      <c r="J23" s="20">
        <v>16</v>
      </c>
      <c r="K23" s="20">
        <v>376.2</v>
      </c>
      <c r="L23" s="20">
        <v>226.24</v>
      </c>
      <c r="M23" s="59">
        <f t="shared" si="2"/>
        <v>-149.95999999999998</v>
      </c>
      <c r="N23" s="59">
        <f t="shared" si="3"/>
        <v>-39.86177565124933</v>
      </c>
      <c r="O23" s="137">
        <v>19</v>
      </c>
      <c r="Q23" s="117" t="s">
        <v>240</v>
      </c>
      <c r="R23" s="118">
        <v>52.575687593628516</v>
      </c>
      <c r="S23" s="144" t="s">
        <v>296</v>
      </c>
    </row>
    <row r="24" spans="1:19" ht="15.75" thickBot="1" thickTop="1">
      <c r="A24" s="20">
        <v>18</v>
      </c>
      <c r="B24" s="85" t="s">
        <v>223</v>
      </c>
      <c r="C24" s="20">
        <v>317.64</v>
      </c>
      <c r="D24" s="20">
        <v>87.35</v>
      </c>
      <c r="E24" s="59">
        <f t="shared" si="0"/>
        <v>27.499685178189143</v>
      </c>
      <c r="F24" s="20">
        <v>2</v>
      </c>
      <c r="G24" s="20">
        <v>114.06</v>
      </c>
      <c r="H24" s="20">
        <v>87.35</v>
      </c>
      <c r="I24" s="59">
        <f t="shared" si="1"/>
        <v>76.58250043836577</v>
      </c>
      <c r="J24" s="20">
        <v>10</v>
      </c>
      <c r="K24" s="20">
        <v>64.99</v>
      </c>
      <c r="L24" s="20">
        <v>87.35</v>
      </c>
      <c r="M24" s="59">
        <f t="shared" si="2"/>
        <v>22.36</v>
      </c>
      <c r="N24" s="59">
        <f t="shared" si="3"/>
        <v>34.405293122018776</v>
      </c>
      <c r="O24" s="137">
        <v>3</v>
      </c>
      <c r="Q24" s="117" t="s">
        <v>199</v>
      </c>
      <c r="R24" s="118">
        <v>45.72916558099661</v>
      </c>
      <c r="S24" s="144" t="s">
        <v>297</v>
      </c>
    </row>
    <row r="25" spans="1:19" ht="15.75" thickBot="1" thickTop="1">
      <c r="A25" s="20">
        <v>19</v>
      </c>
      <c r="B25" s="85" t="s">
        <v>241</v>
      </c>
      <c r="C25" s="20">
        <v>1426.7</v>
      </c>
      <c r="D25" s="20">
        <v>71.26</v>
      </c>
      <c r="E25" s="59">
        <f t="shared" si="0"/>
        <v>4.994743113478657</v>
      </c>
      <c r="F25" s="20">
        <v>16</v>
      </c>
      <c r="G25" s="20">
        <v>78.61999999999989</v>
      </c>
      <c r="H25" s="20">
        <v>71.26</v>
      </c>
      <c r="I25" s="59">
        <f t="shared" si="1"/>
        <v>90.63851437293323</v>
      </c>
      <c r="J25" s="20">
        <v>2</v>
      </c>
      <c r="K25" s="20">
        <v>76.88</v>
      </c>
      <c r="L25" s="20">
        <v>71.26</v>
      </c>
      <c r="M25" s="59">
        <f t="shared" si="2"/>
        <v>-5.61999999999999</v>
      </c>
      <c r="N25" s="59">
        <f t="shared" si="3"/>
        <v>-7.310093652445357</v>
      </c>
      <c r="O25" s="137">
        <v>15</v>
      </c>
      <c r="Q25" s="117" t="s">
        <v>229</v>
      </c>
      <c r="R25" s="118">
        <v>36.81957359024018</v>
      </c>
      <c r="S25" s="144" t="s">
        <v>298</v>
      </c>
    </row>
    <row r="26" spans="1:19" ht="15.75" thickBot="1" thickTop="1">
      <c r="A26" s="20">
        <v>20</v>
      </c>
      <c r="B26" s="85" t="s">
        <v>234</v>
      </c>
      <c r="C26" s="20">
        <v>900.55</v>
      </c>
      <c r="D26" s="20">
        <v>165.03</v>
      </c>
      <c r="E26" s="59">
        <f t="shared" si="0"/>
        <v>18.325467769696296</v>
      </c>
      <c r="F26" s="20">
        <v>4</v>
      </c>
      <c r="G26" s="20">
        <v>285.21</v>
      </c>
      <c r="H26" s="20">
        <v>165.03</v>
      </c>
      <c r="I26" s="59">
        <f t="shared" si="1"/>
        <v>57.86262753760387</v>
      </c>
      <c r="J26" s="20">
        <v>18</v>
      </c>
      <c r="K26" s="20">
        <v>87.31</v>
      </c>
      <c r="L26" s="20">
        <v>165.03</v>
      </c>
      <c r="M26" s="59">
        <f t="shared" si="2"/>
        <v>77.72</v>
      </c>
      <c r="N26" s="59">
        <f t="shared" si="3"/>
        <v>89.01614935288053</v>
      </c>
      <c r="O26" s="137">
        <v>1</v>
      </c>
      <c r="Q26" s="117" t="s">
        <v>197</v>
      </c>
      <c r="R26" s="118">
        <v>15.23582649870903</v>
      </c>
      <c r="S26" s="144" t="s">
        <v>299</v>
      </c>
    </row>
    <row r="27" ht="13.5" thickTop="1"/>
    <row r="28" spans="1:3" ht="14.25">
      <c r="A28" s="54"/>
      <c r="B28" s="120" t="s">
        <v>285</v>
      </c>
      <c r="C28" s="54"/>
    </row>
    <row r="29" spans="1:3" ht="14.25">
      <c r="A29" s="54"/>
      <c r="B29" s="121"/>
      <c r="C29" s="122"/>
    </row>
    <row r="30" spans="1:3" ht="14.25">
      <c r="A30" s="54"/>
      <c r="B30" s="121"/>
      <c r="C30" s="122"/>
    </row>
    <row r="31" spans="1:3" ht="14.25">
      <c r="A31" s="54"/>
      <c r="B31" s="121"/>
      <c r="C31" s="122"/>
    </row>
    <row r="32" spans="1:3" ht="14.25">
      <c r="A32" s="54"/>
      <c r="B32" s="121"/>
      <c r="C32" s="122"/>
    </row>
    <row r="33" spans="1:3" ht="14.25">
      <c r="A33" s="54"/>
      <c r="B33" s="121"/>
      <c r="C33" s="122"/>
    </row>
    <row r="34" spans="1:3" ht="14.25">
      <c r="A34" s="54"/>
      <c r="B34" s="121"/>
      <c r="C34" s="122"/>
    </row>
    <row r="35" spans="1:3" ht="14.25">
      <c r="A35" s="54"/>
      <c r="B35" s="121"/>
      <c r="C35" s="122"/>
    </row>
    <row r="36" spans="1:3" ht="14.25">
      <c r="A36" s="54"/>
      <c r="B36" s="123"/>
      <c r="C36" s="122"/>
    </row>
    <row r="37" spans="1:3" ht="14.25">
      <c r="A37" s="54"/>
      <c r="B37" s="123"/>
      <c r="C37" s="122"/>
    </row>
    <row r="38" spans="1:3" ht="14.25">
      <c r="A38" s="54"/>
      <c r="B38" s="123"/>
      <c r="C38" s="122"/>
    </row>
    <row r="39" spans="1:3" ht="14.25">
      <c r="A39" s="54"/>
      <c r="B39" s="121"/>
      <c r="C39" s="122"/>
    </row>
    <row r="40" spans="1:3" ht="14.25">
      <c r="A40" s="54"/>
      <c r="B40" s="121"/>
      <c r="C40" s="122"/>
    </row>
    <row r="41" spans="1:3" ht="14.25">
      <c r="A41" s="54"/>
      <c r="B41" s="121"/>
      <c r="C41" s="122"/>
    </row>
    <row r="42" spans="1:3" ht="14.25">
      <c r="A42" s="54"/>
      <c r="B42" s="121"/>
      <c r="C42" s="122"/>
    </row>
    <row r="43" spans="1:3" ht="14.25">
      <c r="A43" s="54"/>
      <c r="B43" s="121"/>
      <c r="C43" s="122"/>
    </row>
    <row r="44" spans="1:3" ht="14.25">
      <c r="A44" s="139"/>
      <c r="B44" s="121"/>
      <c r="C44" s="122"/>
    </row>
    <row r="45" spans="1:3" ht="14.25">
      <c r="A45" s="54"/>
      <c r="B45" s="121"/>
      <c r="C45" s="122"/>
    </row>
    <row r="46" spans="1:3" ht="14.25">
      <c r="A46" s="54"/>
      <c r="B46" s="121"/>
      <c r="C46" s="122"/>
    </row>
    <row r="47" spans="1:3" ht="14.25">
      <c r="A47" s="54"/>
      <c r="B47" s="121"/>
      <c r="C47" s="122"/>
    </row>
    <row r="48" spans="1:3" ht="14.25">
      <c r="A48" s="54"/>
      <c r="B48" s="121"/>
      <c r="C48" s="122"/>
    </row>
    <row r="49" spans="1:3" ht="14.25">
      <c r="A49" s="54"/>
      <c r="B49" s="121"/>
      <c r="C49" s="122"/>
    </row>
    <row r="50" spans="1:3" ht="14.25">
      <c r="A50" s="54"/>
      <c r="B50" s="121"/>
      <c r="C50" s="122"/>
    </row>
    <row r="51" spans="1:3" ht="14.25">
      <c r="A51" s="54"/>
      <c r="B51" s="121"/>
      <c r="C51" s="122"/>
    </row>
    <row r="52" spans="1:3" ht="14.25">
      <c r="A52" s="54"/>
      <c r="B52" s="121"/>
      <c r="C52" s="122"/>
    </row>
    <row r="53" spans="1:3" ht="14.25">
      <c r="A53" s="54"/>
      <c r="B53" s="121"/>
      <c r="C53" s="122"/>
    </row>
    <row r="54" spans="1:3" ht="14.25">
      <c r="A54" s="54"/>
      <c r="B54" s="121"/>
      <c r="C54" s="122"/>
    </row>
    <row r="55" spans="1:3" ht="14.25">
      <c r="A55" s="54"/>
      <c r="B55" s="121"/>
      <c r="C55" s="122"/>
    </row>
    <row r="56" spans="1:3" ht="12.75">
      <c r="A56" s="54"/>
      <c r="B56" s="54"/>
      <c r="C56" s="54"/>
    </row>
    <row r="57" spans="1:3" ht="12.75">
      <c r="A57" s="54"/>
      <c r="B57" s="54"/>
      <c r="C57" s="54"/>
    </row>
    <row r="99" spans="1:3" ht="14.25">
      <c r="A99" s="20"/>
      <c r="B99" s="85"/>
      <c r="C99" s="65"/>
    </row>
    <row r="100" spans="1:3" ht="14.25">
      <c r="A100" s="20"/>
      <c r="B100" s="85"/>
      <c r="C100" s="65"/>
    </row>
    <row r="101" spans="1:3" ht="14.25">
      <c r="A101" s="20"/>
      <c r="B101" s="85"/>
      <c r="C101" s="65"/>
    </row>
    <row r="102" spans="1:3" ht="14.25">
      <c r="A102" s="20"/>
      <c r="B102" s="85"/>
      <c r="C102" s="65"/>
    </row>
    <row r="103" spans="1:3" ht="14.25">
      <c r="A103" s="20"/>
      <c r="B103" s="85"/>
      <c r="C103" s="65"/>
    </row>
    <row r="104" spans="1:3" ht="14.25">
      <c r="A104" s="20"/>
      <c r="B104" s="85"/>
      <c r="C104" s="65"/>
    </row>
    <row r="105" spans="1:3" ht="14.25">
      <c r="A105" s="20"/>
      <c r="B105" s="85"/>
      <c r="C105" s="65"/>
    </row>
    <row r="106" spans="1:3" ht="14.25">
      <c r="A106" s="20"/>
      <c r="B106" s="85"/>
      <c r="C106" s="65"/>
    </row>
    <row r="107" spans="1:3" ht="14.25">
      <c r="A107" s="20"/>
      <c r="B107" s="85"/>
      <c r="C107" s="65"/>
    </row>
    <row r="108" spans="1:3" ht="14.25">
      <c r="A108" s="20"/>
      <c r="B108" s="85"/>
      <c r="C108" s="65"/>
    </row>
    <row r="109" spans="1:3" ht="14.25">
      <c r="A109" s="20"/>
      <c r="B109" s="85"/>
      <c r="C109" s="65"/>
    </row>
    <row r="110" spans="1:3" ht="14.25">
      <c r="A110" s="20"/>
      <c r="B110" s="85"/>
      <c r="C110" s="65"/>
    </row>
    <row r="111" spans="1:3" ht="14.25">
      <c r="A111" s="24"/>
      <c r="B111" s="85"/>
      <c r="C111" s="65"/>
    </row>
    <row r="112" spans="1:3" ht="14.25">
      <c r="A112" s="20"/>
      <c r="B112" s="85"/>
      <c r="C112" s="65"/>
    </row>
    <row r="113" spans="1:3" ht="14.25">
      <c r="A113" s="20"/>
      <c r="B113" s="85"/>
      <c r="C113" s="65"/>
    </row>
    <row r="114" spans="1:3" ht="14.25">
      <c r="A114" s="20"/>
      <c r="B114" s="85"/>
      <c r="C114" s="65"/>
    </row>
    <row r="115" spans="1:3" ht="14.25">
      <c r="A115" s="20"/>
      <c r="B115" s="85"/>
      <c r="C115" s="65"/>
    </row>
    <row r="116" spans="1:3" ht="14.25">
      <c r="A116" s="20"/>
      <c r="B116" s="85"/>
      <c r="C116" s="65"/>
    </row>
    <row r="117" spans="1:3" ht="14.25">
      <c r="A117" s="20"/>
      <c r="B117" s="85"/>
      <c r="C117" s="65"/>
    </row>
    <row r="118" spans="1:3" ht="14.25">
      <c r="A118" s="20"/>
      <c r="B118" s="85"/>
      <c r="C118" s="65"/>
    </row>
    <row r="119" spans="1:3" ht="14.25">
      <c r="A119" s="20"/>
      <c r="B119" s="85"/>
      <c r="C119" s="65"/>
    </row>
    <row r="120" spans="1:3" ht="14.25">
      <c r="A120" s="20"/>
      <c r="B120" s="85"/>
      <c r="C120" s="65"/>
    </row>
    <row r="121" spans="1:3" ht="14.25">
      <c r="A121" s="20"/>
      <c r="B121" s="85"/>
      <c r="C121" s="65"/>
    </row>
    <row r="122" spans="1:3" ht="14.25">
      <c r="A122" s="20"/>
      <c r="B122" s="85"/>
      <c r="C122" s="65"/>
    </row>
    <row r="123" spans="1:3" ht="14.25">
      <c r="A123" s="20"/>
      <c r="B123" s="85"/>
      <c r="C123" s="65"/>
    </row>
    <row r="124" spans="1:3" ht="14.25">
      <c r="A124" s="20"/>
      <c r="B124" s="85"/>
      <c r="C124" s="65"/>
    </row>
    <row r="125" spans="1:3" ht="14.25">
      <c r="A125" s="20"/>
      <c r="B125" s="85"/>
      <c r="C125" s="65"/>
    </row>
    <row r="126" spans="1:3" ht="14.25">
      <c r="A126" s="20"/>
      <c r="B126" s="85"/>
      <c r="C126" s="65"/>
    </row>
    <row r="127" spans="1:3" ht="14.25">
      <c r="A127" s="20"/>
      <c r="B127" s="85"/>
      <c r="C127" s="65"/>
    </row>
    <row r="128" spans="1:3" ht="14.25">
      <c r="A128" s="20"/>
      <c r="B128" s="85"/>
      <c r="C128" s="65"/>
    </row>
    <row r="129" spans="1:3" ht="14.25">
      <c r="A129" s="24"/>
      <c r="B129" s="85"/>
      <c r="C129" s="65"/>
    </row>
    <row r="130" spans="1:3" ht="14.25">
      <c r="A130" s="20"/>
      <c r="B130" s="3"/>
      <c r="C130" s="65"/>
    </row>
    <row r="131" spans="1:3" ht="14.25">
      <c r="A131" s="20"/>
      <c r="B131" s="85"/>
      <c r="C131" s="65"/>
    </row>
    <row r="132" spans="1:3" ht="14.25">
      <c r="A132" s="20"/>
      <c r="B132" s="85"/>
      <c r="C132" s="65"/>
    </row>
    <row r="133" spans="1:3" ht="14.25">
      <c r="A133" s="20"/>
      <c r="B133" s="85"/>
      <c r="C133" s="65"/>
    </row>
    <row r="134" spans="1:3" ht="14.25">
      <c r="A134" s="20"/>
      <c r="B134" s="85"/>
      <c r="C134" s="65"/>
    </row>
    <row r="135" spans="1:3" ht="14.25">
      <c r="A135" s="20"/>
      <c r="B135" s="85"/>
      <c r="C135" s="65"/>
    </row>
    <row r="136" spans="1:3" ht="14.25">
      <c r="A136" s="20"/>
      <c r="B136" s="85"/>
      <c r="C136" s="65"/>
    </row>
    <row r="137" spans="1:3" ht="14.25">
      <c r="A137" s="20"/>
      <c r="B137" s="85"/>
      <c r="C137" s="65"/>
    </row>
    <row r="138" spans="1:3" ht="14.25">
      <c r="A138" s="20"/>
      <c r="B138" s="85"/>
      <c r="C138" s="65"/>
    </row>
    <row r="139" spans="1:3" ht="14.25">
      <c r="A139" s="20"/>
      <c r="B139" s="85"/>
      <c r="C139" s="65"/>
    </row>
    <row r="140" spans="1:3" ht="14.25">
      <c r="A140" s="20"/>
      <c r="B140" s="85"/>
      <c r="C140" s="65"/>
    </row>
    <row r="141" spans="1:3" ht="14.25">
      <c r="A141" s="20"/>
      <c r="B141" s="85"/>
      <c r="C141" s="65"/>
    </row>
    <row r="142" spans="1:3" ht="14.25">
      <c r="A142" s="20"/>
      <c r="B142" s="85"/>
      <c r="C142" s="65"/>
    </row>
    <row r="143" spans="1:3" ht="14.25">
      <c r="A143" s="20"/>
      <c r="B143" s="85"/>
      <c r="C143" s="65"/>
    </row>
    <row r="144" spans="1:3" ht="14.25">
      <c r="A144" s="20"/>
      <c r="B144" s="85"/>
      <c r="C144" s="65"/>
    </row>
    <row r="145" spans="1:3" ht="14.25">
      <c r="A145" s="20"/>
      <c r="B145" s="85"/>
      <c r="C145" s="65"/>
    </row>
    <row r="146" spans="1:3" ht="14.25">
      <c r="A146" s="20"/>
      <c r="B146" s="85"/>
      <c r="C146" s="65"/>
    </row>
    <row r="147" spans="1:3" ht="14.25">
      <c r="A147" s="20"/>
      <c r="B147" s="85"/>
      <c r="C147" s="65"/>
    </row>
    <row r="148" spans="1:3" ht="14.25">
      <c r="A148" s="20"/>
      <c r="B148" s="85"/>
      <c r="C148" s="65"/>
    </row>
    <row r="149" spans="1:3" ht="14.25">
      <c r="A149" s="20"/>
      <c r="B149" s="85"/>
      <c r="C149" s="65"/>
    </row>
    <row r="150" spans="1:3" ht="14.25">
      <c r="A150" s="20"/>
      <c r="B150" s="85"/>
      <c r="C150" s="65"/>
    </row>
    <row r="151" spans="1:3" ht="14.25">
      <c r="A151" s="20"/>
      <c r="B151" s="85"/>
      <c r="C151" s="65"/>
    </row>
    <row r="152" spans="1:3" ht="14.25">
      <c r="A152" s="20"/>
      <c r="B152" s="3"/>
      <c r="C152" s="65"/>
    </row>
    <row r="153" spans="1:3" ht="14.25">
      <c r="A153" s="20"/>
      <c r="B153" s="85"/>
      <c r="C153" s="65"/>
    </row>
    <row r="154" spans="1:3" ht="14.25">
      <c r="A154" s="20"/>
      <c r="B154" s="85"/>
      <c r="C154" s="65"/>
    </row>
    <row r="155" spans="1:3" ht="14.25">
      <c r="A155" s="20"/>
      <c r="B155" s="85"/>
      <c r="C155" s="65"/>
    </row>
    <row r="156" spans="1:3" ht="14.25">
      <c r="A156" s="20"/>
      <c r="B156" s="85"/>
      <c r="C156" s="65"/>
    </row>
    <row r="157" spans="1:3" ht="14.25">
      <c r="A157" s="20"/>
      <c r="B157" s="85"/>
      <c r="C157" s="65"/>
    </row>
    <row r="158" spans="1:3" ht="14.25">
      <c r="A158" s="20"/>
      <c r="B158" s="85"/>
      <c r="C158" s="65"/>
    </row>
    <row r="224" spans="1:2" ht="14.25">
      <c r="A224" s="20">
        <v>1</v>
      </c>
      <c r="B224" s="85" t="s">
        <v>159</v>
      </c>
    </row>
    <row r="225" spans="1:2" ht="14.25">
      <c r="A225" s="20">
        <v>2</v>
      </c>
      <c r="B225" s="85" t="s">
        <v>160</v>
      </c>
    </row>
    <row r="226" spans="1:2" ht="14.25">
      <c r="A226" s="20">
        <v>3</v>
      </c>
      <c r="B226" s="85" t="s">
        <v>161</v>
      </c>
    </row>
    <row r="227" spans="1:2" ht="14.25">
      <c r="A227" s="20">
        <v>4</v>
      </c>
      <c r="B227" s="85" t="s">
        <v>162</v>
      </c>
    </row>
    <row r="228" spans="1:2" ht="14.25">
      <c r="A228" s="20">
        <v>5</v>
      </c>
      <c r="B228" s="85" t="s">
        <v>164</v>
      </c>
    </row>
    <row r="229" spans="1:2" ht="14.25">
      <c r="A229" s="20">
        <v>6</v>
      </c>
      <c r="B229" s="85" t="s">
        <v>165</v>
      </c>
    </row>
    <row r="230" spans="1:2" ht="14.25">
      <c r="A230" s="20">
        <v>7</v>
      </c>
      <c r="B230" s="85" t="s">
        <v>166</v>
      </c>
    </row>
    <row r="231" spans="1:2" ht="14.25">
      <c r="A231" s="20">
        <v>8</v>
      </c>
      <c r="B231" s="85" t="s">
        <v>167</v>
      </c>
    </row>
    <row r="232" spans="1:2" ht="14.25">
      <c r="A232" s="20">
        <v>9</v>
      </c>
      <c r="B232" s="85" t="s">
        <v>168</v>
      </c>
    </row>
    <row r="233" spans="1:2" ht="14.25">
      <c r="A233" s="20">
        <v>10</v>
      </c>
      <c r="B233" s="85" t="s">
        <v>170</v>
      </c>
    </row>
    <row r="234" spans="1:2" ht="14.25">
      <c r="A234" s="20">
        <v>11</v>
      </c>
      <c r="B234" s="85" t="s">
        <v>171</v>
      </c>
    </row>
    <row r="235" spans="1:2" ht="14.25">
      <c r="A235" s="20">
        <v>12</v>
      </c>
      <c r="B235" s="85" t="s">
        <v>172</v>
      </c>
    </row>
    <row r="236" spans="1:2" ht="14.25">
      <c r="A236" s="20">
        <v>13</v>
      </c>
      <c r="B236" s="85" t="s">
        <v>173</v>
      </c>
    </row>
    <row r="237" spans="1:2" ht="14.25">
      <c r="A237" s="20">
        <v>14</v>
      </c>
      <c r="B237" s="85" t="s">
        <v>174</v>
      </c>
    </row>
    <row r="238" spans="1:2" ht="14.25">
      <c r="A238" s="20">
        <v>15</v>
      </c>
      <c r="B238" s="85" t="s">
        <v>176</v>
      </c>
    </row>
    <row r="239" spans="1:2" ht="14.25">
      <c r="A239" s="24">
        <v>16</v>
      </c>
      <c r="B239" s="3" t="s">
        <v>177</v>
      </c>
    </row>
    <row r="240" spans="1:2" ht="14.25">
      <c r="A240" s="20">
        <v>17</v>
      </c>
      <c r="B240" s="85" t="s">
        <v>178</v>
      </c>
    </row>
    <row r="241" spans="1:2" ht="14.25">
      <c r="A241" s="20">
        <v>18</v>
      </c>
      <c r="B241" s="85" t="s">
        <v>179</v>
      </c>
    </row>
    <row r="242" spans="1:2" ht="14.25">
      <c r="A242" s="20">
        <v>19</v>
      </c>
      <c r="B242" s="85" t="s">
        <v>180</v>
      </c>
    </row>
    <row r="243" spans="1:2" ht="14.25">
      <c r="A243" s="20">
        <v>20</v>
      </c>
      <c r="B243" s="85" t="s">
        <v>181</v>
      </c>
    </row>
    <row r="244" spans="1:2" ht="14.25">
      <c r="A244" s="20">
        <v>21</v>
      </c>
      <c r="B244" s="85" t="s">
        <v>183</v>
      </c>
    </row>
    <row r="245" spans="1:2" ht="14.25">
      <c r="A245" s="20">
        <v>22</v>
      </c>
      <c r="B245" s="85" t="s">
        <v>184</v>
      </c>
    </row>
    <row r="246" spans="1:2" ht="14.25">
      <c r="A246" s="20">
        <v>23</v>
      </c>
      <c r="B246" s="85" t="s">
        <v>185</v>
      </c>
    </row>
    <row r="247" spans="1:2" ht="14.25">
      <c r="A247" s="20">
        <v>24</v>
      </c>
      <c r="B247" s="85" t="s">
        <v>186</v>
      </c>
    </row>
    <row r="248" spans="1:2" ht="14.25">
      <c r="A248" s="20">
        <v>25</v>
      </c>
      <c r="B248" s="85" t="s">
        <v>187</v>
      </c>
    </row>
    <row r="249" spans="1:2" ht="14.25">
      <c r="A249" s="20">
        <v>26</v>
      </c>
      <c r="B249" s="85" t="s">
        <v>189</v>
      </c>
    </row>
    <row r="250" spans="1:2" ht="14.25">
      <c r="A250" s="20">
        <v>27</v>
      </c>
      <c r="B250" s="85" t="s">
        <v>190</v>
      </c>
    </row>
    <row r="251" spans="1:2" ht="14.25">
      <c r="A251" s="20">
        <v>28</v>
      </c>
      <c r="B251" s="85" t="s">
        <v>191</v>
      </c>
    </row>
    <row r="252" spans="1:2" ht="14.25">
      <c r="A252" s="20">
        <v>29</v>
      </c>
      <c r="B252" s="85" t="s">
        <v>192</v>
      </c>
    </row>
    <row r="253" spans="1:2" ht="14.25">
      <c r="A253" s="20">
        <v>30</v>
      </c>
      <c r="B253" s="85" t="s">
        <v>194</v>
      </c>
    </row>
    <row r="254" spans="1:2" ht="14.25">
      <c r="A254" s="20">
        <v>31</v>
      </c>
      <c r="B254" s="85" t="s">
        <v>195</v>
      </c>
    </row>
    <row r="255" spans="1:2" ht="14.25">
      <c r="A255" s="20">
        <v>32</v>
      </c>
      <c r="B255" s="85" t="s">
        <v>196</v>
      </c>
    </row>
    <row r="256" spans="1:2" ht="14.25">
      <c r="A256" s="20">
        <v>33</v>
      </c>
      <c r="B256" s="85" t="s">
        <v>197</v>
      </c>
    </row>
    <row r="257" spans="1:2" ht="14.25">
      <c r="A257" s="20">
        <v>34</v>
      </c>
      <c r="B257" s="85" t="s">
        <v>198</v>
      </c>
    </row>
    <row r="258" spans="1:2" ht="14.25">
      <c r="A258" s="20">
        <v>35</v>
      </c>
      <c r="B258" s="85" t="s">
        <v>199</v>
      </c>
    </row>
    <row r="259" spans="1:2" ht="14.25">
      <c r="A259" s="20">
        <v>36</v>
      </c>
      <c r="B259" s="85" t="s">
        <v>200</v>
      </c>
    </row>
    <row r="260" spans="1:2" ht="14.25">
      <c r="A260" s="20">
        <v>37</v>
      </c>
      <c r="B260" s="85" t="s">
        <v>202</v>
      </c>
    </row>
    <row r="261" spans="1:2" ht="14.25">
      <c r="A261" s="20">
        <v>38</v>
      </c>
      <c r="B261" s="85" t="s">
        <v>203</v>
      </c>
    </row>
    <row r="262" spans="1:2" ht="14.25">
      <c r="A262" s="24">
        <v>39</v>
      </c>
      <c r="B262" s="3" t="s">
        <v>204</v>
      </c>
    </row>
    <row r="263" spans="1:2" ht="14.25">
      <c r="A263" s="20">
        <v>40</v>
      </c>
      <c r="B263" s="85" t="s">
        <v>205</v>
      </c>
    </row>
    <row r="264" spans="1:2" ht="14.25">
      <c r="A264" s="20">
        <v>41</v>
      </c>
      <c r="B264" s="85" t="s">
        <v>206</v>
      </c>
    </row>
    <row r="265" spans="1:2" ht="14.25">
      <c r="A265" s="20">
        <v>42</v>
      </c>
      <c r="B265" s="85" t="s">
        <v>208</v>
      </c>
    </row>
    <row r="266" spans="1:2" ht="14.25">
      <c r="A266" s="20">
        <v>43</v>
      </c>
      <c r="B266" s="85" t="s">
        <v>209</v>
      </c>
    </row>
    <row r="267" spans="1:2" ht="14.25">
      <c r="A267" s="20">
        <v>44</v>
      </c>
      <c r="B267" s="85" t="s">
        <v>210</v>
      </c>
    </row>
    <row r="268" spans="1:2" ht="14.25">
      <c r="A268" s="20">
        <v>45</v>
      </c>
      <c r="B268" s="85" t="s">
        <v>211</v>
      </c>
    </row>
    <row r="269" spans="1:2" ht="14.25">
      <c r="A269" s="20">
        <v>46</v>
      </c>
      <c r="B269" s="85" t="s">
        <v>212</v>
      </c>
    </row>
    <row r="270" spans="1:2" ht="14.25">
      <c r="A270" s="20">
        <v>47</v>
      </c>
      <c r="B270" s="85" t="s">
        <v>214</v>
      </c>
    </row>
    <row r="271" spans="1:2" ht="14.25">
      <c r="A271" s="20">
        <v>48</v>
      </c>
      <c r="B271" s="85" t="s">
        <v>215</v>
      </c>
    </row>
    <row r="272" spans="1:2" ht="14.25">
      <c r="A272" s="20">
        <v>49</v>
      </c>
      <c r="B272" s="85" t="s">
        <v>216</v>
      </c>
    </row>
    <row r="273" spans="1:2" ht="14.25">
      <c r="A273" s="20">
        <v>50</v>
      </c>
      <c r="B273" s="85" t="s">
        <v>217</v>
      </c>
    </row>
    <row r="274" spans="1:2" ht="14.25">
      <c r="A274" s="20">
        <v>51</v>
      </c>
      <c r="B274" s="85" t="s">
        <v>218</v>
      </c>
    </row>
    <row r="275" spans="1:2" ht="14.25">
      <c r="A275" s="20">
        <v>52</v>
      </c>
      <c r="B275" s="85" t="s">
        <v>219</v>
      </c>
    </row>
    <row r="276" spans="1:2" ht="14.25">
      <c r="A276" s="20">
        <v>53</v>
      </c>
      <c r="B276" s="85" t="s">
        <v>221</v>
      </c>
    </row>
    <row r="277" spans="1:2" ht="14.25">
      <c r="A277" s="20">
        <v>54</v>
      </c>
      <c r="B277" s="85" t="s">
        <v>222</v>
      </c>
    </row>
    <row r="278" spans="1:2" ht="14.25">
      <c r="A278" s="20">
        <v>55</v>
      </c>
      <c r="B278" s="85" t="s">
        <v>223</v>
      </c>
    </row>
    <row r="279" spans="1:2" ht="14.25">
      <c r="A279" s="20">
        <v>56</v>
      </c>
      <c r="B279" s="85" t="s">
        <v>225</v>
      </c>
    </row>
    <row r="280" spans="1:2" ht="14.25">
      <c r="A280" s="20">
        <v>57</v>
      </c>
      <c r="B280" s="85" t="s">
        <v>226</v>
      </c>
    </row>
    <row r="281" spans="1:2" ht="14.25">
      <c r="A281" s="20">
        <v>58</v>
      </c>
      <c r="B281" s="85" t="s">
        <v>227</v>
      </c>
    </row>
    <row r="282" spans="1:2" ht="14.25">
      <c r="A282" s="20">
        <v>59</v>
      </c>
      <c r="B282" s="85" t="s">
        <v>229</v>
      </c>
    </row>
    <row r="283" spans="1:2" ht="14.25">
      <c r="A283" s="20">
        <v>60</v>
      </c>
      <c r="B283" s="85" t="s">
        <v>230</v>
      </c>
    </row>
    <row r="284" spans="1:2" ht="14.25">
      <c r="A284" s="20">
        <v>61</v>
      </c>
      <c r="B284" s="85" t="s">
        <v>231</v>
      </c>
    </row>
    <row r="285" spans="1:2" ht="14.25">
      <c r="A285" s="20">
        <v>62</v>
      </c>
      <c r="B285" s="85" t="s">
        <v>233</v>
      </c>
    </row>
    <row r="286" spans="1:2" ht="14.25">
      <c r="A286" s="20">
        <v>63</v>
      </c>
      <c r="B286" s="85" t="s">
        <v>234</v>
      </c>
    </row>
  </sheetData>
  <mergeCells count="11">
    <mergeCell ref="Q4:Q5"/>
    <mergeCell ref="R4:R5"/>
    <mergeCell ref="S4:S5"/>
    <mergeCell ref="A1:S1"/>
    <mergeCell ref="A2:S2"/>
    <mergeCell ref="A3:S3"/>
    <mergeCell ref="A4:A5"/>
    <mergeCell ref="B4:B5"/>
    <mergeCell ref="C4:F4"/>
    <mergeCell ref="G4:J4"/>
    <mergeCell ref="K4:O4"/>
  </mergeCells>
  <printOptions/>
  <pageMargins left="0.26" right="0.18" top="0.77" bottom="0.61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D24" sqref="D24"/>
    </sheetView>
  </sheetViews>
  <sheetFormatPr defaultColWidth="9.140625" defaultRowHeight="12.75"/>
  <cols>
    <col min="2" max="2" width="10.57421875" style="0" bestFit="1" customWidth="1"/>
    <col min="3" max="3" width="11.140625" style="0" bestFit="1" customWidth="1"/>
    <col min="6" max="6" width="8.57421875" style="0" customWidth="1"/>
    <col min="8" max="8" width="10.8515625" style="0" bestFit="1" customWidth="1"/>
    <col min="9" max="9" width="10.57421875" style="0" bestFit="1" customWidth="1"/>
    <col min="11" max="11" width="10.28125" style="0" customWidth="1"/>
  </cols>
  <sheetData>
    <row r="1" spans="1:11" ht="12.75" customHeight="1">
      <c r="A1" s="178" t="s">
        <v>118</v>
      </c>
      <c r="B1" s="179"/>
      <c r="C1" s="179"/>
      <c r="D1" s="179"/>
      <c r="E1" s="180"/>
      <c r="F1" s="187"/>
      <c r="G1" s="178" t="s">
        <v>119</v>
      </c>
      <c r="H1" s="179"/>
      <c r="I1" s="179"/>
      <c r="J1" s="179"/>
      <c r="K1" s="180"/>
    </row>
    <row r="2" spans="1:11" ht="12.75">
      <c r="A2" s="181"/>
      <c r="B2" s="182"/>
      <c r="C2" s="182"/>
      <c r="D2" s="182"/>
      <c r="E2" s="183"/>
      <c r="F2" s="187"/>
      <c r="G2" s="181"/>
      <c r="H2" s="182"/>
      <c r="I2" s="182"/>
      <c r="J2" s="182"/>
      <c r="K2" s="183"/>
    </row>
    <row r="3" spans="1:11" ht="12.75">
      <c r="A3" s="181"/>
      <c r="B3" s="182"/>
      <c r="C3" s="182"/>
      <c r="D3" s="182"/>
      <c r="E3" s="183"/>
      <c r="F3" s="187"/>
      <c r="G3" s="181"/>
      <c r="H3" s="182"/>
      <c r="I3" s="182"/>
      <c r="J3" s="182"/>
      <c r="K3" s="183"/>
    </row>
    <row r="4" spans="1:11" ht="39.75" customHeight="1">
      <c r="A4" s="184"/>
      <c r="B4" s="185"/>
      <c r="C4" s="185"/>
      <c r="D4" s="185"/>
      <c r="E4" s="186"/>
      <c r="F4" s="187"/>
      <c r="G4" s="184"/>
      <c r="H4" s="185"/>
      <c r="I4" s="185"/>
      <c r="J4" s="185"/>
      <c r="K4" s="186"/>
    </row>
    <row r="5" spans="1:11" ht="19.5" customHeight="1">
      <c r="A5" s="21" t="s">
        <v>114</v>
      </c>
      <c r="B5" s="55">
        <v>39873</v>
      </c>
      <c r="C5" s="55">
        <v>40238</v>
      </c>
      <c r="D5" s="56" t="s">
        <v>115</v>
      </c>
      <c r="E5" s="57"/>
      <c r="F5" s="187"/>
      <c r="G5" s="21" t="s">
        <v>114</v>
      </c>
      <c r="H5" s="55">
        <v>39873</v>
      </c>
      <c r="I5" s="55">
        <v>40238</v>
      </c>
      <c r="J5" s="188" t="s">
        <v>116</v>
      </c>
      <c r="K5" s="188"/>
    </row>
    <row r="6" spans="1:11" ht="19.5" customHeight="1">
      <c r="A6" s="20" t="s">
        <v>21</v>
      </c>
      <c r="B6" s="49">
        <v>3988.13</v>
      </c>
      <c r="C6" s="58">
        <f>'[1]Sheet1'!O1006</f>
        <v>4014.66</v>
      </c>
      <c r="D6" s="176">
        <f aca="true" t="shared" si="0" ref="D6:D20">C6-B6</f>
        <v>26.529999999999745</v>
      </c>
      <c r="E6" s="176"/>
      <c r="F6" s="187"/>
      <c r="G6" s="20" t="s">
        <v>21</v>
      </c>
      <c r="H6" s="59">
        <v>1220.67</v>
      </c>
      <c r="I6" s="59">
        <f>'[1]Sheet1'!O661</f>
        <v>1333.67</v>
      </c>
      <c r="J6" s="176">
        <f aca="true" t="shared" si="1" ref="J6:J20">I6-H6</f>
        <v>113</v>
      </c>
      <c r="K6" s="176"/>
    </row>
    <row r="7" spans="1:11" ht="19.5" customHeight="1">
      <c r="A7" s="20" t="s">
        <v>22</v>
      </c>
      <c r="B7" s="49">
        <v>3047.17</v>
      </c>
      <c r="C7" s="58">
        <f>'[1]Sheet1'!O1007</f>
        <v>3199.79</v>
      </c>
      <c r="D7" s="176">
        <f t="shared" si="0"/>
        <v>152.6199999999999</v>
      </c>
      <c r="E7" s="176"/>
      <c r="F7" s="187"/>
      <c r="G7" s="20" t="s">
        <v>22</v>
      </c>
      <c r="H7" s="59">
        <v>983.03</v>
      </c>
      <c r="I7" s="59">
        <f>'[1]Sheet1'!O662</f>
        <v>1042.8599999999997</v>
      </c>
      <c r="J7" s="176">
        <f t="shared" si="1"/>
        <v>59.8299999999997</v>
      </c>
      <c r="K7" s="176"/>
    </row>
    <row r="8" spans="1:11" ht="19.5" customHeight="1">
      <c r="A8" s="20" t="s">
        <v>23</v>
      </c>
      <c r="B8" s="49">
        <v>1111.21</v>
      </c>
      <c r="C8" s="58">
        <f>'[1]Sheet1'!O1008</f>
        <v>1305.26</v>
      </c>
      <c r="D8" s="176">
        <f t="shared" si="0"/>
        <v>194.04999999999995</v>
      </c>
      <c r="E8" s="176"/>
      <c r="F8" s="187"/>
      <c r="G8" s="20" t="s">
        <v>23</v>
      </c>
      <c r="H8" s="59">
        <v>1160.14</v>
      </c>
      <c r="I8" s="59">
        <f>'[1]Sheet1'!O663</f>
        <v>965.8100000000001</v>
      </c>
      <c r="J8" s="176">
        <f t="shared" si="1"/>
        <v>-194.33000000000004</v>
      </c>
      <c r="K8" s="176"/>
    </row>
    <row r="9" spans="1:11" ht="19.5" customHeight="1">
      <c r="A9" s="20" t="s">
        <v>24</v>
      </c>
      <c r="B9" s="49">
        <v>1527.3</v>
      </c>
      <c r="C9" s="58">
        <f>'[1]Sheet1'!O1009</f>
        <v>1688.32</v>
      </c>
      <c r="D9" s="176">
        <f t="shared" si="0"/>
        <v>161.01999999999998</v>
      </c>
      <c r="E9" s="176"/>
      <c r="F9" s="187"/>
      <c r="G9" s="20" t="s">
        <v>24</v>
      </c>
      <c r="H9" s="59">
        <v>477.18</v>
      </c>
      <c r="I9" s="59">
        <f>'[1]Sheet1'!O664</f>
        <v>529.2099999999999</v>
      </c>
      <c r="J9" s="176">
        <f t="shared" si="1"/>
        <v>52.029999999999916</v>
      </c>
      <c r="K9" s="176"/>
    </row>
    <row r="10" spans="1:11" ht="19.5" customHeight="1">
      <c r="A10" s="20" t="s">
        <v>25</v>
      </c>
      <c r="B10" s="49">
        <v>2236.62</v>
      </c>
      <c r="C10" s="58">
        <f>'[1]Sheet1'!O1010</f>
        <v>2424.3399999999997</v>
      </c>
      <c r="D10" s="176">
        <f t="shared" si="0"/>
        <v>187.7199999999998</v>
      </c>
      <c r="E10" s="176"/>
      <c r="F10" s="187"/>
      <c r="G10" s="20" t="s">
        <v>25</v>
      </c>
      <c r="H10" s="59">
        <v>803.69</v>
      </c>
      <c r="I10" s="59">
        <f>'[1]Sheet1'!O665</f>
        <v>878.83</v>
      </c>
      <c r="J10" s="176">
        <f t="shared" si="1"/>
        <v>75.13999999999999</v>
      </c>
      <c r="K10" s="176"/>
    </row>
    <row r="11" spans="1:11" ht="19.5" customHeight="1">
      <c r="A11" s="20" t="s">
        <v>26</v>
      </c>
      <c r="B11" s="49">
        <v>571.74</v>
      </c>
      <c r="C11" s="58">
        <f>'[1]Sheet1'!O1011</f>
        <v>755.3799999999999</v>
      </c>
      <c r="D11" s="176">
        <f t="shared" si="0"/>
        <v>183.63999999999987</v>
      </c>
      <c r="E11" s="176"/>
      <c r="F11" s="187"/>
      <c r="G11" s="20" t="s">
        <v>26</v>
      </c>
      <c r="H11" s="59">
        <v>390.14</v>
      </c>
      <c r="I11" s="59">
        <f>'[1]Sheet1'!O666</f>
        <v>492.95000000000005</v>
      </c>
      <c r="J11" s="176">
        <f t="shared" si="1"/>
        <v>102.81000000000006</v>
      </c>
      <c r="K11" s="176"/>
    </row>
    <row r="12" spans="1:11" ht="19.5" customHeight="1">
      <c r="A12" s="20" t="s">
        <v>27</v>
      </c>
      <c r="B12" s="49">
        <v>7517.84</v>
      </c>
      <c r="C12" s="58">
        <f>'[1]Sheet1'!O1012</f>
        <v>5284.38</v>
      </c>
      <c r="D12" s="176">
        <f t="shared" si="0"/>
        <v>-2233.46</v>
      </c>
      <c r="E12" s="176"/>
      <c r="F12" s="187"/>
      <c r="G12" s="20" t="s">
        <v>27</v>
      </c>
      <c r="H12" s="59">
        <v>2529.82</v>
      </c>
      <c r="I12" s="59">
        <f>'[1]Sheet1'!O667</f>
        <v>2962.67</v>
      </c>
      <c r="J12" s="176">
        <f t="shared" si="1"/>
        <v>432.8499999999999</v>
      </c>
      <c r="K12" s="176"/>
    </row>
    <row r="13" spans="1:11" ht="19.5" customHeight="1">
      <c r="A13" s="20" t="s">
        <v>28</v>
      </c>
      <c r="B13" s="49">
        <v>2672.43</v>
      </c>
      <c r="C13" s="58">
        <f>'[1]Sheet1'!O1013</f>
        <v>3867.0600000000004</v>
      </c>
      <c r="D13" s="176">
        <f t="shared" si="0"/>
        <v>1194.6300000000006</v>
      </c>
      <c r="E13" s="176"/>
      <c r="F13" s="187"/>
      <c r="G13" s="20" t="s">
        <v>28</v>
      </c>
      <c r="H13" s="59">
        <v>1616.39</v>
      </c>
      <c r="I13" s="59">
        <f>'[1]Sheet1'!O668</f>
        <v>1962.5400000000002</v>
      </c>
      <c r="J13" s="176">
        <f t="shared" si="1"/>
        <v>346.1500000000001</v>
      </c>
      <c r="K13" s="176"/>
    </row>
    <row r="14" spans="1:11" ht="19.5" customHeight="1">
      <c r="A14" s="20" t="s">
        <v>29</v>
      </c>
      <c r="B14" s="49">
        <v>1243.85</v>
      </c>
      <c r="C14" s="58">
        <f>'[1]Sheet1'!O1014</f>
        <v>1396.15</v>
      </c>
      <c r="D14" s="176">
        <f t="shared" si="0"/>
        <v>152.30000000000018</v>
      </c>
      <c r="E14" s="176"/>
      <c r="F14" s="187"/>
      <c r="G14" s="20" t="s">
        <v>29</v>
      </c>
      <c r="H14" s="59">
        <v>838.97</v>
      </c>
      <c r="I14" s="59">
        <f>'[1]Sheet1'!O669</f>
        <v>907.3200000000002</v>
      </c>
      <c r="J14" s="176">
        <f t="shared" si="1"/>
        <v>68.35000000000014</v>
      </c>
      <c r="K14" s="176"/>
    </row>
    <row r="15" spans="1:11" ht="19.5" customHeight="1">
      <c r="A15" s="20" t="s">
        <v>30</v>
      </c>
      <c r="B15" s="49">
        <v>686.28</v>
      </c>
      <c r="C15" s="58">
        <f>'[1]Sheet1'!O1015</f>
        <v>594.05</v>
      </c>
      <c r="D15" s="176">
        <f t="shared" si="0"/>
        <v>-92.23000000000002</v>
      </c>
      <c r="E15" s="176"/>
      <c r="F15" s="187"/>
      <c r="G15" s="20" t="s">
        <v>30</v>
      </c>
      <c r="H15" s="59">
        <v>1949.15</v>
      </c>
      <c r="I15" s="59">
        <f>'[1]Sheet1'!O670</f>
        <v>2199.8700000000003</v>
      </c>
      <c r="J15" s="176">
        <f t="shared" si="1"/>
        <v>250.72000000000025</v>
      </c>
      <c r="K15" s="176"/>
    </row>
    <row r="16" spans="1:11" ht="19.5" customHeight="1">
      <c r="A16" s="20" t="s">
        <v>31</v>
      </c>
      <c r="B16" s="49">
        <v>1951.88</v>
      </c>
      <c r="C16" s="58">
        <f>'[1]Sheet1'!O1016</f>
        <v>2039.32</v>
      </c>
      <c r="D16" s="176">
        <f t="shared" si="0"/>
        <v>87.43999999999983</v>
      </c>
      <c r="E16" s="176"/>
      <c r="F16" s="187"/>
      <c r="G16" s="20" t="s">
        <v>31</v>
      </c>
      <c r="H16" s="59">
        <v>996.18</v>
      </c>
      <c r="I16" s="59">
        <f>'[1]Sheet1'!O671</f>
        <v>1104.82</v>
      </c>
      <c r="J16" s="176">
        <f t="shared" si="1"/>
        <v>108.63999999999999</v>
      </c>
      <c r="K16" s="176"/>
    </row>
    <row r="17" spans="1:11" ht="19.5" customHeight="1">
      <c r="A17" s="20" t="s">
        <v>32</v>
      </c>
      <c r="B17" s="49">
        <v>336.41</v>
      </c>
      <c r="C17" s="58">
        <f>'[1]Sheet1'!O1017</f>
        <v>394.12</v>
      </c>
      <c r="D17" s="176">
        <f t="shared" si="0"/>
        <v>57.70999999999998</v>
      </c>
      <c r="E17" s="176"/>
      <c r="F17" s="187"/>
      <c r="G17" s="20" t="s">
        <v>32</v>
      </c>
      <c r="H17" s="59">
        <v>317.11</v>
      </c>
      <c r="I17" s="59">
        <f>'[1]Sheet1'!O672</f>
        <v>344.92999999999995</v>
      </c>
      <c r="J17" s="176">
        <f t="shared" si="1"/>
        <v>27.819999999999936</v>
      </c>
      <c r="K17" s="176"/>
    </row>
    <row r="18" spans="1:11" ht="19.5" customHeight="1">
      <c r="A18" s="20" t="s">
        <v>33</v>
      </c>
      <c r="B18" s="49">
        <v>1004.42</v>
      </c>
      <c r="C18" s="58">
        <f>'[1]Sheet1'!O1018</f>
        <v>1169.4699999999998</v>
      </c>
      <c r="D18" s="176">
        <f t="shared" si="0"/>
        <v>165.04999999999984</v>
      </c>
      <c r="E18" s="176"/>
      <c r="F18" s="187"/>
      <c r="G18" s="20" t="s">
        <v>33</v>
      </c>
      <c r="H18" s="59">
        <v>1289.37</v>
      </c>
      <c r="I18" s="59">
        <f>'[1]Sheet1'!O673</f>
        <v>1082.2099999999998</v>
      </c>
      <c r="J18" s="176">
        <f t="shared" si="1"/>
        <v>-207.16000000000008</v>
      </c>
      <c r="K18" s="176"/>
    </row>
    <row r="19" spans="1:11" ht="19.5" customHeight="1">
      <c r="A19" s="20" t="s">
        <v>34</v>
      </c>
      <c r="B19" s="49">
        <v>359.23</v>
      </c>
      <c r="C19" s="58">
        <f>'[1]Sheet1'!O1019</f>
        <v>431.07</v>
      </c>
      <c r="D19" s="176">
        <f t="shared" si="0"/>
        <v>71.83999999999997</v>
      </c>
      <c r="E19" s="176"/>
      <c r="F19" s="187"/>
      <c r="G19" s="20" t="s">
        <v>34</v>
      </c>
      <c r="H19" s="59">
        <v>523.59</v>
      </c>
      <c r="I19" s="59">
        <f>'[1]Sheet1'!O674</f>
        <v>568.3100000000001</v>
      </c>
      <c r="J19" s="176">
        <f t="shared" si="1"/>
        <v>44.72000000000003</v>
      </c>
      <c r="K19" s="176"/>
    </row>
    <row r="20" spans="1:11" ht="19.5" customHeight="1">
      <c r="A20" s="21" t="s">
        <v>35</v>
      </c>
      <c r="B20" s="28">
        <f>SUM(B6:B19)</f>
        <v>28254.51</v>
      </c>
      <c r="C20" s="28">
        <f>SUM(C6:C19)</f>
        <v>28563.37</v>
      </c>
      <c r="D20" s="177">
        <f t="shared" si="0"/>
        <v>308.8600000000006</v>
      </c>
      <c r="E20" s="177"/>
      <c r="F20" s="187"/>
      <c r="G20" s="21" t="s">
        <v>35</v>
      </c>
      <c r="H20" s="60">
        <f>SUM(H6:H19)</f>
        <v>15095.43</v>
      </c>
      <c r="I20" s="60">
        <f>SUM(I6:I19)</f>
        <v>16376</v>
      </c>
      <c r="J20" s="177">
        <f t="shared" si="1"/>
        <v>1280.5699999999997</v>
      </c>
      <c r="K20" s="177"/>
    </row>
    <row r="26" ht="14.25">
      <c r="J26" s="61" t="s">
        <v>117</v>
      </c>
    </row>
  </sheetData>
  <mergeCells count="34">
    <mergeCell ref="A1:E4"/>
    <mergeCell ref="F1:F20"/>
    <mergeCell ref="G1:K4"/>
    <mergeCell ref="J5:K5"/>
    <mergeCell ref="D6:E6"/>
    <mergeCell ref="J6:K6"/>
    <mergeCell ref="D7:E7"/>
    <mergeCell ref="J7:K7"/>
    <mergeCell ref="D8:E8"/>
    <mergeCell ref="J8:K8"/>
    <mergeCell ref="D9:E9"/>
    <mergeCell ref="J9:K9"/>
    <mergeCell ref="D10:E10"/>
    <mergeCell ref="J10:K10"/>
    <mergeCell ref="D11:E11"/>
    <mergeCell ref="J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1">
      <selection activeCell="C30" activeCellId="1" sqref="C3:K3 C30:K30"/>
    </sheetView>
  </sheetViews>
  <sheetFormatPr defaultColWidth="9.140625" defaultRowHeight="12.75"/>
  <cols>
    <col min="1" max="1" width="32.57421875" style="0" customWidth="1"/>
    <col min="2" max="2" width="6.28125" style="0" customWidth="1"/>
    <col min="3" max="5" width="9.57421875" style="0" bestFit="1" customWidth="1"/>
    <col min="6" max="7" width="10.140625" style="0" bestFit="1" customWidth="1"/>
    <col min="8" max="8" width="9.57421875" style="0" bestFit="1" customWidth="1"/>
    <col min="9" max="9" width="9.57421875" style="0" customWidth="1"/>
    <col min="10" max="11" width="9.57421875" style="0" bestFit="1" customWidth="1"/>
    <col min="13" max="13" width="13.57421875" style="0" customWidth="1"/>
    <col min="14" max="14" width="16.00390625" style="0" customWidth="1"/>
  </cols>
  <sheetData>
    <row r="1" spans="1:11" ht="21" customHeight="1">
      <c r="A1" s="189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1.75" customHeight="1">
      <c r="A3" s="191" t="s">
        <v>121</v>
      </c>
      <c r="B3" s="192"/>
      <c r="C3" s="7" t="s">
        <v>122</v>
      </c>
      <c r="D3" s="7" t="s">
        <v>123</v>
      </c>
      <c r="E3" s="7" t="s">
        <v>124</v>
      </c>
      <c r="F3" s="7" t="s">
        <v>125</v>
      </c>
      <c r="G3" s="7" t="s">
        <v>126</v>
      </c>
      <c r="H3" s="7" t="s">
        <v>127</v>
      </c>
      <c r="I3" s="7" t="s">
        <v>128</v>
      </c>
      <c r="J3" s="7" t="s">
        <v>129</v>
      </c>
      <c r="K3" s="7" t="s">
        <v>130</v>
      </c>
    </row>
    <row r="4" spans="1:11" ht="18" customHeight="1">
      <c r="A4" s="3" t="s">
        <v>131</v>
      </c>
      <c r="B4" s="193" t="s">
        <v>132</v>
      </c>
      <c r="C4" s="6">
        <v>2184.7</v>
      </c>
      <c r="D4" s="6">
        <v>2090.74</v>
      </c>
      <c r="E4" s="6">
        <v>2560.89</v>
      </c>
      <c r="F4" s="6">
        <v>2612.41</v>
      </c>
      <c r="G4" s="6">
        <v>2496.89</v>
      </c>
      <c r="H4" s="6">
        <v>2516.39</v>
      </c>
      <c r="I4" s="6">
        <v>2608.09</v>
      </c>
      <c r="J4" s="6">
        <v>2643.37</v>
      </c>
      <c r="K4" s="6">
        <v>2753.77</v>
      </c>
    </row>
    <row r="5" spans="1:11" ht="18" customHeight="1">
      <c r="A5" s="3" t="s">
        <v>133</v>
      </c>
      <c r="B5" s="194"/>
      <c r="C5" s="6">
        <v>963.75</v>
      </c>
      <c r="D5" s="6">
        <v>1113.42</v>
      </c>
      <c r="E5" s="6">
        <v>3158.63</v>
      </c>
      <c r="F5" s="6">
        <v>3842.5</v>
      </c>
      <c r="G5" s="6">
        <v>3970.55</v>
      </c>
      <c r="H5" s="6">
        <v>3616.43</v>
      </c>
      <c r="I5" s="6">
        <v>4833.94</v>
      </c>
      <c r="J5" s="6">
        <v>5674.35</v>
      </c>
      <c r="K5" s="6">
        <f>6328.22+163.4</f>
        <v>6491.62</v>
      </c>
    </row>
    <row r="6" spans="1:11" ht="18" customHeight="1">
      <c r="A6" s="3" t="s">
        <v>134</v>
      </c>
      <c r="B6" s="194"/>
      <c r="C6" s="6">
        <v>213.3</v>
      </c>
      <c r="D6" s="6">
        <v>136.2</v>
      </c>
      <c r="E6" s="6">
        <v>122.79</v>
      </c>
      <c r="F6" s="6">
        <v>130.93</v>
      </c>
      <c r="G6" s="6">
        <v>86.71</v>
      </c>
      <c r="H6" s="6">
        <v>94.68</v>
      </c>
      <c r="I6" s="6">
        <v>111.09</v>
      </c>
      <c r="J6" s="6">
        <v>111.15</v>
      </c>
      <c r="K6" s="6">
        <v>187.4</v>
      </c>
    </row>
    <row r="7" spans="1:11" ht="18" customHeight="1">
      <c r="A7" s="3" t="s">
        <v>135</v>
      </c>
      <c r="B7" s="194"/>
      <c r="C7" s="6">
        <v>74.64</v>
      </c>
      <c r="D7" s="6">
        <v>73.17</v>
      </c>
      <c r="E7" s="6">
        <v>74.29</v>
      </c>
      <c r="F7" s="6">
        <v>98.12</v>
      </c>
      <c r="G7" s="6">
        <v>89.47</v>
      </c>
      <c r="H7" s="6">
        <v>103.83</v>
      </c>
      <c r="I7" s="6">
        <v>99.84</v>
      </c>
      <c r="J7" s="6">
        <v>91.06</v>
      </c>
      <c r="K7" s="6">
        <v>90.32</v>
      </c>
    </row>
    <row r="8" spans="1:11" ht="18" customHeight="1">
      <c r="A8" s="3" t="s">
        <v>136</v>
      </c>
      <c r="B8" s="194"/>
      <c r="C8" s="6">
        <v>2544.09</v>
      </c>
      <c r="D8" s="6">
        <v>3627.42</v>
      </c>
      <c r="E8" s="6">
        <v>3886.46</v>
      </c>
      <c r="F8" s="6">
        <v>4122.16</v>
      </c>
      <c r="G8" s="6">
        <v>4590.51</v>
      </c>
      <c r="H8" s="6">
        <v>5220.29</v>
      </c>
      <c r="I8" s="6">
        <v>5898.68</v>
      </c>
      <c r="J8" s="6">
        <v>6150.15</v>
      </c>
      <c r="K8" s="6">
        <v>6338.16</v>
      </c>
    </row>
    <row r="9" spans="1:11" ht="18" customHeight="1">
      <c r="A9" s="3" t="s">
        <v>137</v>
      </c>
      <c r="B9" s="194"/>
      <c r="C9" s="6">
        <v>0</v>
      </c>
      <c r="D9" s="6">
        <v>0</v>
      </c>
      <c r="E9" s="6">
        <v>125.11</v>
      </c>
      <c r="F9" s="6">
        <v>161.36</v>
      </c>
      <c r="G9" s="6">
        <v>212.58</v>
      </c>
      <c r="H9" s="6">
        <v>280.37</v>
      </c>
      <c r="I9" s="6">
        <v>352.64</v>
      </c>
      <c r="J9" s="6">
        <v>425.32</v>
      </c>
      <c r="K9" s="6">
        <v>514.73</v>
      </c>
    </row>
    <row r="10" spans="1:11" s="63" customFormat="1" ht="18" customHeight="1">
      <c r="A10" s="7" t="s">
        <v>138</v>
      </c>
      <c r="B10" s="151"/>
      <c r="C10" s="22">
        <f>SUM(C4:C9)</f>
        <v>5980.48</v>
      </c>
      <c r="D10" s="22">
        <f aca="true" t="shared" si="0" ref="D10:K10">SUM(D4:D9)</f>
        <v>7040.95</v>
      </c>
      <c r="E10" s="22">
        <f t="shared" si="0"/>
        <v>9928.170000000002</v>
      </c>
      <c r="F10" s="22">
        <f t="shared" si="0"/>
        <v>10967.48</v>
      </c>
      <c r="G10" s="22">
        <f t="shared" si="0"/>
        <v>11446.710000000001</v>
      </c>
      <c r="H10" s="22">
        <f t="shared" si="0"/>
        <v>11831.99</v>
      </c>
      <c r="I10" s="22">
        <f t="shared" si="0"/>
        <v>13904.279999999999</v>
      </c>
      <c r="J10" s="22">
        <f t="shared" si="0"/>
        <v>15095.4</v>
      </c>
      <c r="K10" s="22">
        <f t="shared" si="0"/>
        <v>16375.999999999998</v>
      </c>
    </row>
    <row r="12" spans="1:11" ht="15.75">
      <c r="A12" s="189" t="s">
        <v>139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ht="12.75">
      <c r="A13" s="190" t="s">
        <v>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</row>
    <row r="14" spans="1:11" ht="17.25" customHeight="1">
      <c r="A14" s="191" t="s">
        <v>121</v>
      </c>
      <c r="B14" s="197"/>
      <c r="C14" s="64" t="s">
        <v>122</v>
      </c>
      <c r="D14" s="64" t="s">
        <v>123</v>
      </c>
      <c r="E14" s="64" t="s">
        <v>124</v>
      </c>
      <c r="F14" s="64" t="s">
        <v>125</v>
      </c>
      <c r="G14" s="64" t="s">
        <v>126</v>
      </c>
      <c r="H14" s="64" t="s">
        <v>127</v>
      </c>
      <c r="I14" s="64" t="s">
        <v>128</v>
      </c>
      <c r="J14" s="64" t="s">
        <v>129</v>
      </c>
      <c r="K14" s="64" t="s">
        <v>130</v>
      </c>
    </row>
    <row r="15" spans="1:11" ht="18" customHeight="1">
      <c r="A15" s="3" t="s">
        <v>140</v>
      </c>
      <c r="B15" s="198" t="s">
        <v>141</v>
      </c>
      <c r="C15" s="3">
        <v>3294.79</v>
      </c>
      <c r="D15" s="3">
        <v>3324.59</v>
      </c>
      <c r="E15" s="3">
        <v>4967.72</v>
      </c>
      <c r="F15" s="3">
        <v>4569.81</v>
      </c>
      <c r="G15" s="3">
        <v>4112.54</v>
      </c>
      <c r="H15" s="3">
        <v>4548.56</v>
      </c>
      <c r="I15" s="3">
        <v>4260.6</v>
      </c>
      <c r="J15" s="3">
        <v>7693.38</v>
      </c>
      <c r="K15" s="3">
        <v>5224.36</v>
      </c>
    </row>
    <row r="16" spans="1:14" ht="18" customHeight="1">
      <c r="A16" s="3" t="s">
        <v>142</v>
      </c>
      <c r="B16" s="198"/>
      <c r="C16" s="6">
        <v>223.21</v>
      </c>
      <c r="D16" s="6">
        <v>86.06</v>
      </c>
      <c r="E16" s="6">
        <v>70.87</v>
      </c>
      <c r="F16" s="6">
        <v>49.43</v>
      </c>
      <c r="G16" s="6">
        <v>74.15</v>
      </c>
      <c r="H16" s="6">
        <v>38.68</v>
      </c>
      <c r="I16" s="6">
        <v>95.03</v>
      </c>
      <c r="J16" s="6">
        <v>275.31</v>
      </c>
      <c r="K16" s="6">
        <v>54.38</v>
      </c>
      <c r="M16" s="65"/>
      <c r="N16" s="65"/>
    </row>
    <row r="17" spans="1:14" ht="18" customHeight="1">
      <c r="A17" s="3" t="s">
        <v>143</v>
      </c>
      <c r="B17" s="198"/>
      <c r="C17" s="6">
        <v>872.71</v>
      </c>
      <c r="D17" s="6">
        <v>338.1</v>
      </c>
      <c r="E17" s="6">
        <v>335.83</v>
      </c>
      <c r="F17" s="6">
        <v>417.46</v>
      </c>
      <c r="G17" s="6">
        <v>491.81</v>
      </c>
      <c r="H17" s="6">
        <v>437.26</v>
      </c>
      <c r="I17" s="6">
        <v>889.31</v>
      </c>
      <c r="J17" s="6">
        <v>1445.31</v>
      </c>
      <c r="K17" s="6">
        <v>784.18</v>
      </c>
      <c r="M17" s="65"/>
      <c r="N17" s="65"/>
    </row>
    <row r="18" spans="1:14" ht="18" customHeight="1">
      <c r="A18" s="3" t="s">
        <v>144</v>
      </c>
      <c r="B18" s="198"/>
      <c r="C18" s="6">
        <v>88.75</v>
      </c>
      <c r="D18" s="6">
        <v>382.48</v>
      </c>
      <c r="E18" s="6">
        <v>93.27</v>
      </c>
      <c r="F18" s="6">
        <v>158.43</v>
      </c>
      <c r="G18" s="6">
        <v>340.85</v>
      </c>
      <c r="H18" s="6">
        <v>221.97</v>
      </c>
      <c r="I18" s="6">
        <v>167.37</v>
      </c>
      <c r="J18" s="6">
        <v>215.36</v>
      </c>
      <c r="K18" s="6">
        <v>264.54</v>
      </c>
      <c r="M18" s="65"/>
      <c r="N18" s="65"/>
    </row>
    <row r="19" spans="1:14" ht="18" customHeight="1">
      <c r="A19" s="3" t="s">
        <v>145</v>
      </c>
      <c r="B19" s="198"/>
      <c r="C19" s="6">
        <v>160.51</v>
      </c>
      <c r="D19" s="6">
        <v>116.96</v>
      </c>
      <c r="E19" s="6">
        <v>136.07</v>
      </c>
      <c r="F19" s="6">
        <v>258.22</v>
      </c>
      <c r="G19" s="6">
        <v>375.95</v>
      </c>
      <c r="H19" s="6">
        <v>310.36</v>
      </c>
      <c r="I19" s="6">
        <v>477.45</v>
      </c>
      <c r="J19" s="6">
        <v>557.22</v>
      </c>
      <c r="K19" s="6">
        <v>430.91</v>
      </c>
      <c r="M19" s="65"/>
      <c r="N19" s="65"/>
    </row>
    <row r="20" spans="1:14" ht="18" customHeight="1">
      <c r="A20" s="3" t="s">
        <v>146</v>
      </c>
      <c r="B20" s="198"/>
      <c r="C20" s="6">
        <v>2.16</v>
      </c>
      <c r="D20" s="6">
        <v>1.92</v>
      </c>
      <c r="E20" s="6">
        <v>31.13</v>
      </c>
      <c r="F20" s="6">
        <v>1.17</v>
      </c>
      <c r="G20" s="6">
        <v>7.19</v>
      </c>
      <c r="H20" s="6">
        <v>14.81</v>
      </c>
      <c r="I20" s="6">
        <v>8.52</v>
      </c>
      <c r="J20" s="6">
        <v>2.83</v>
      </c>
      <c r="K20" s="6">
        <v>0.04</v>
      </c>
      <c r="M20" s="65"/>
      <c r="N20" s="65"/>
    </row>
    <row r="21" spans="1:14" ht="18" customHeight="1">
      <c r="A21" s="3" t="s">
        <v>147</v>
      </c>
      <c r="B21" s="198"/>
      <c r="C21" s="6">
        <v>950.37</v>
      </c>
      <c r="D21" s="6">
        <v>1017.67</v>
      </c>
      <c r="E21" s="6">
        <v>754.45</v>
      </c>
      <c r="F21" s="6">
        <v>988.73</v>
      </c>
      <c r="G21" s="6">
        <v>925.67</v>
      </c>
      <c r="H21" s="6">
        <v>1336.77</v>
      </c>
      <c r="I21" s="6">
        <v>1140.33</v>
      </c>
      <c r="J21" s="6">
        <v>1042.51</v>
      </c>
      <c r="K21" s="6">
        <v>3449.03</v>
      </c>
      <c r="M21" s="65"/>
      <c r="N21" s="65"/>
    </row>
    <row r="22" spans="1:14" ht="18" customHeight="1">
      <c r="A22" s="7" t="s">
        <v>148</v>
      </c>
      <c r="B22" s="196"/>
      <c r="C22" s="22">
        <f>SUM(C15:C21)</f>
        <v>5592.5</v>
      </c>
      <c r="D22" s="22">
        <f aca="true" t="shared" si="1" ref="D22:I22">SUM(D15:D21)</f>
        <v>5267.78</v>
      </c>
      <c r="E22" s="22">
        <f t="shared" si="1"/>
        <v>6389.34</v>
      </c>
      <c r="F22" s="22">
        <f t="shared" si="1"/>
        <v>6443.250000000002</v>
      </c>
      <c r="G22" s="22">
        <f t="shared" si="1"/>
        <v>6328.16</v>
      </c>
      <c r="H22" s="22">
        <f t="shared" si="1"/>
        <v>6908.410000000002</v>
      </c>
      <c r="I22" s="22">
        <f t="shared" si="1"/>
        <v>7038.610000000001</v>
      </c>
      <c r="J22" s="22">
        <f>SUM(J15:J21)</f>
        <v>11231.92</v>
      </c>
      <c r="K22" s="22">
        <f>SUM(K15:K21)</f>
        <v>10207.44</v>
      </c>
      <c r="M22" s="65"/>
      <c r="N22" s="65"/>
    </row>
    <row r="23" spans="1:14" s="67" customFormat="1" ht="18" customHeight="1">
      <c r="A23" s="3" t="s">
        <v>74</v>
      </c>
      <c r="B23" s="195" t="s">
        <v>149</v>
      </c>
      <c r="C23" s="6">
        <v>647.42</v>
      </c>
      <c r="D23" s="6">
        <v>753.02</v>
      </c>
      <c r="E23" s="6">
        <v>1883.85</v>
      </c>
      <c r="F23" s="6">
        <v>2256.02</v>
      </c>
      <c r="G23" s="6">
        <v>2757.61</v>
      </c>
      <c r="H23" s="6">
        <v>3760.31</v>
      </c>
      <c r="I23" s="6">
        <v>5419.26</v>
      </c>
      <c r="J23" s="6">
        <v>4886.74</v>
      </c>
      <c r="K23" s="6">
        <v>3933.61</v>
      </c>
      <c r="L23"/>
      <c r="M23" s="66"/>
      <c r="N23" s="66"/>
    </row>
    <row r="24" spans="1:14" s="67" customFormat="1" ht="18" customHeight="1">
      <c r="A24" s="3" t="s">
        <v>75</v>
      </c>
      <c r="B24" s="195"/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3728.81</v>
      </c>
      <c r="J24" s="6">
        <v>3184.29</v>
      </c>
      <c r="K24" s="6">
        <v>3057.14</v>
      </c>
      <c r="L24"/>
      <c r="M24" s="66"/>
      <c r="N24" s="66"/>
    </row>
    <row r="25" spans="1:11" ht="18" customHeight="1">
      <c r="A25" s="3" t="s">
        <v>111</v>
      </c>
      <c r="B25" s="195"/>
      <c r="C25" s="3">
        <v>557.05</v>
      </c>
      <c r="D25" s="3">
        <v>448.34</v>
      </c>
      <c r="E25" s="3">
        <v>341.9</v>
      </c>
      <c r="F25" s="3">
        <v>544.38</v>
      </c>
      <c r="G25" s="3">
        <v>532.84</v>
      </c>
      <c r="H25" s="3">
        <v>606.12</v>
      </c>
      <c r="I25" s="3">
        <v>503.37</v>
      </c>
      <c r="J25" s="3">
        <v>550.54</v>
      </c>
      <c r="K25" s="6">
        <v>1154.34</v>
      </c>
    </row>
    <row r="26" spans="1:11" ht="18" customHeight="1">
      <c r="A26" s="3" t="s">
        <v>77</v>
      </c>
      <c r="B26" s="195"/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1524.55</v>
      </c>
      <c r="K26" s="6">
        <v>313.06</v>
      </c>
    </row>
    <row r="27" spans="1:11" ht="18" customHeight="1">
      <c r="A27" s="3" t="s">
        <v>150</v>
      </c>
      <c r="B27" s="195"/>
      <c r="C27" s="3">
        <v>4392.01</v>
      </c>
      <c r="D27" s="3">
        <v>4558.59</v>
      </c>
      <c r="E27" s="3">
        <v>9832.92</v>
      </c>
      <c r="F27" s="3">
        <v>11007.62</v>
      </c>
      <c r="G27" s="3">
        <v>11252.76</v>
      </c>
      <c r="H27" s="3">
        <v>11188</v>
      </c>
      <c r="I27" s="3">
        <f>12384.27-3728.81</f>
        <v>8655.460000000001</v>
      </c>
      <c r="J27" s="3">
        <f>3387.67+3488.78</f>
        <v>6876.450000000001</v>
      </c>
      <c r="K27" s="3">
        <f>5686.8+4210.98</f>
        <v>9897.779999999999</v>
      </c>
    </row>
    <row r="28" spans="1:11" ht="18" customHeight="1">
      <c r="A28" s="7" t="s">
        <v>151</v>
      </c>
      <c r="B28" s="196"/>
      <c r="C28" s="22">
        <f>SUM(C23:C27)</f>
        <v>5596.48</v>
      </c>
      <c r="D28" s="22">
        <f aca="true" t="shared" si="2" ref="D28:I28">SUM(D23:D27)</f>
        <v>5759.95</v>
      </c>
      <c r="E28" s="22">
        <f t="shared" si="2"/>
        <v>12058.67</v>
      </c>
      <c r="F28" s="22">
        <f t="shared" si="2"/>
        <v>13808.02</v>
      </c>
      <c r="G28" s="22">
        <f t="shared" si="2"/>
        <v>14543.210000000001</v>
      </c>
      <c r="H28" s="22">
        <f t="shared" si="2"/>
        <v>15554.43</v>
      </c>
      <c r="I28" s="22">
        <f t="shared" si="2"/>
        <v>18306.9</v>
      </c>
      <c r="J28" s="22">
        <f>SUM(J23:J27)</f>
        <v>17022.57</v>
      </c>
      <c r="K28" s="22">
        <f>SUM(K23:K27)</f>
        <v>18355.93</v>
      </c>
    </row>
    <row r="29" spans="1:11" ht="18" customHeight="1">
      <c r="A29" s="7" t="s">
        <v>152</v>
      </c>
      <c r="B29" s="7"/>
      <c r="C29" s="22">
        <f aca="true" t="shared" si="3" ref="C29:K29">C22+C28</f>
        <v>11188.98</v>
      </c>
      <c r="D29" s="22">
        <f t="shared" si="3"/>
        <v>11027.73</v>
      </c>
      <c r="E29" s="22">
        <f t="shared" si="3"/>
        <v>18448.010000000002</v>
      </c>
      <c r="F29" s="22">
        <f t="shared" si="3"/>
        <v>20251.270000000004</v>
      </c>
      <c r="G29" s="22">
        <f t="shared" si="3"/>
        <v>20871.370000000003</v>
      </c>
      <c r="H29" s="22">
        <f t="shared" si="3"/>
        <v>22462.840000000004</v>
      </c>
      <c r="I29" s="22">
        <f t="shared" si="3"/>
        <v>25345.510000000002</v>
      </c>
      <c r="J29" s="22">
        <f t="shared" si="3"/>
        <v>28254.489999999998</v>
      </c>
      <c r="K29" s="22">
        <f t="shared" si="3"/>
        <v>28563.370000000003</v>
      </c>
    </row>
    <row r="30" spans="1:11" s="71" customFormat="1" ht="21" customHeight="1">
      <c r="A30" s="68" t="s">
        <v>153</v>
      </c>
      <c r="B30" s="69"/>
      <c r="C30" s="70">
        <f>C10+C29</f>
        <v>17169.46</v>
      </c>
      <c r="D30" s="70">
        <f aca="true" t="shared" si="4" ref="D30:K30">D10+D29</f>
        <v>18068.68</v>
      </c>
      <c r="E30" s="70">
        <f t="shared" si="4"/>
        <v>28376.180000000004</v>
      </c>
      <c r="F30" s="70">
        <f t="shared" si="4"/>
        <v>31218.750000000004</v>
      </c>
      <c r="G30" s="70">
        <f t="shared" si="4"/>
        <v>32318.08</v>
      </c>
      <c r="H30" s="70">
        <f t="shared" si="4"/>
        <v>34294.83</v>
      </c>
      <c r="I30" s="70">
        <f t="shared" si="4"/>
        <v>39249.79</v>
      </c>
      <c r="J30" s="70">
        <f t="shared" si="4"/>
        <v>43349.89</v>
      </c>
      <c r="K30" s="70">
        <f t="shared" si="4"/>
        <v>44939.37</v>
      </c>
    </row>
  </sheetData>
  <mergeCells count="9">
    <mergeCell ref="B23:B28"/>
    <mergeCell ref="A12:K12"/>
    <mergeCell ref="A13:K13"/>
    <mergeCell ref="A14:B14"/>
    <mergeCell ref="B15:B22"/>
    <mergeCell ref="A1:K1"/>
    <mergeCell ref="A2:K2"/>
    <mergeCell ref="A3:B3"/>
    <mergeCell ref="B4:B10"/>
  </mergeCells>
  <printOptions/>
  <pageMargins left="0.42" right="0.75" top="0.81" bottom="0.38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6"/>
  <sheetViews>
    <sheetView view="pageBreakPreview" zoomScaleSheetLayoutView="100" workbookViewId="0" topLeftCell="C79">
      <selection activeCell="L107" sqref="L107"/>
    </sheetView>
  </sheetViews>
  <sheetFormatPr defaultColWidth="9.140625" defaultRowHeight="12.75"/>
  <cols>
    <col min="1" max="1" width="3.8515625" style="0" customWidth="1"/>
    <col min="2" max="2" width="19.28125" style="0" customWidth="1"/>
    <col min="3" max="3" width="8.8515625" style="0" customWidth="1"/>
    <col min="4" max="4" width="8.7109375" style="0" customWidth="1"/>
    <col min="5" max="5" width="10.421875" style="0" customWidth="1"/>
    <col min="6" max="6" width="8.7109375" style="0" customWidth="1"/>
    <col min="7" max="7" width="8.00390625" style="0" customWidth="1"/>
    <col min="8" max="8" width="7.7109375" style="0" customWidth="1"/>
    <col min="9" max="9" width="9.421875" style="0" customWidth="1"/>
    <col min="10" max="10" width="6.8515625" style="0" customWidth="1"/>
    <col min="11" max="11" width="7.7109375" style="0" customWidth="1"/>
    <col min="12" max="12" width="8.421875" style="0" customWidth="1"/>
    <col min="13" max="13" width="8.140625" style="0" customWidth="1"/>
    <col min="14" max="14" width="8.57421875" style="0" customWidth="1"/>
    <col min="15" max="15" width="7.57421875" style="0" customWidth="1"/>
    <col min="16" max="16" width="8.7109375" style="0" customWidth="1"/>
    <col min="17" max="18" width="7.421875" style="0" customWidth="1"/>
  </cols>
  <sheetData>
    <row r="1" spans="2:18" ht="18">
      <c r="B1" s="157" t="s">
        <v>154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2:18" ht="18">
      <c r="B2" s="157" t="s">
        <v>155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2:18" ht="15.75">
      <c r="B3" s="158" t="s">
        <v>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ht="12.75">
      <c r="A4" s="199" t="s">
        <v>156</v>
      </c>
      <c r="B4" s="147" t="s">
        <v>3</v>
      </c>
      <c r="C4" s="153" t="s">
        <v>157</v>
      </c>
      <c r="D4" s="153" t="s">
        <v>5</v>
      </c>
      <c r="E4" s="153" t="s">
        <v>6</v>
      </c>
      <c r="F4" s="152" t="s">
        <v>7</v>
      </c>
      <c r="G4" s="152"/>
      <c r="H4" s="152"/>
      <c r="I4" s="153" t="s">
        <v>8</v>
      </c>
      <c r="J4" s="147" t="s">
        <v>9</v>
      </c>
      <c r="K4" s="147" t="s">
        <v>38</v>
      </c>
      <c r="L4" s="150" t="s">
        <v>11</v>
      </c>
      <c r="M4" s="147" t="s">
        <v>39</v>
      </c>
      <c r="N4" s="147" t="s">
        <v>13</v>
      </c>
      <c r="O4" s="147" t="s">
        <v>14</v>
      </c>
      <c r="P4" s="147" t="s">
        <v>15</v>
      </c>
      <c r="Q4" s="147" t="s">
        <v>16</v>
      </c>
      <c r="R4" s="147" t="s">
        <v>17</v>
      </c>
    </row>
    <row r="5" spans="1:18" ht="92.25" customHeight="1">
      <c r="A5" s="199"/>
      <c r="B5" s="147"/>
      <c r="C5" s="170"/>
      <c r="D5" s="156"/>
      <c r="E5" s="154"/>
      <c r="F5" s="19" t="s">
        <v>18</v>
      </c>
      <c r="G5" s="19" t="s">
        <v>19</v>
      </c>
      <c r="H5" s="19" t="s">
        <v>20</v>
      </c>
      <c r="I5" s="154"/>
      <c r="J5" s="147"/>
      <c r="K5" s="147"/>
      <c r="L5" s="151"/>
      <c r="M5" s="147"/>
      <c r="N5" s="147"/>
      <c r="O5" s="147"/>
      <c r="P5" s="147"/>
      <c r="Q5" s="147"/>
      <c r="R5" s="147"/>
    </row>
    <row r="6" spans="1:18" ht="18.75" customHeight="1">
      <c r="A6" s="72"/>
      <c r="B6" s="73" t="s">
        <v>158</v>
      </c>
      <c r="C6" s="74"/>
      <c r="D6" s="75"/>
      <c r="E6" s="76"/>
      <c r="F6" s="77"/>
      <c r="G6" s="77"/>
      <c r="H6" s="77"/>
      <c r="I6" s="76"/>
      <c r="J6" s="77"/>
      <c r="K6" s="77"/>
      <c r="L6" s="78"/>
      <c r="M6" s="77"/>
      <c r="N6" s="77"/>
      <c r="O6" s="77"/>
      <c r="P6" s="77"/>
      <c r="Q6" s="77"/>
      <c r="R6" s="77"/>
    </row>
    <row r="7" spans="1:18" ht="14.25">
      <c r="A7" s="72">
        <v>1</v>
      </c>
      <c r="B7" s="79" t="s">
        <v>159</v>
      </c>
      <c r="C7" s="40">
        <f>2529.72+652.23</f>
        <v>3181.95</v>
      </c>
      <c r="D7" s="40">
        <v>135.98</v>
      </c>
      <c r="E7" s="40">
        <f>C7+D7</f>
        <v>3317.93</v>
      </c>
      <c r="F7" s="40">
        <v>1384.96</v>
      </c>
      <c r="G7" s="40">
        <v>640.43</v>
      </c>
      <c r="H7" s="40">
        <v>45.88</v>
      </c>
      <c r="I7" s="40">
        <f>F7+G7+H7</f>
        <v>2071.27</v>
      </c>
      <c r="J7" s="40">
        <v>0</v>
      </c>
      <c r="K7" s="40">
        <v>260.7</v>
      </c>
      <c r="L7" s="40">
        <f>I7+J7+K7</f>
        <v>2331.97</v>
      </c>
      <c r="M7" s="40">
        <f>E7-L7</f>
        <v>985.96</v>
      </c>
      <c r="N7" s="40">
        <v>562.5</v>
      </c>
      <c r="O7" s="40">
        <v>199.57</v>
      </c>
      <c r="P7" s="40">
        <f>N7+O7</f>
        <v>762.0699999999999</v>
      </c>
      <c r="Q7" s="40">
        <f>M7-P7</f>
        <v>223.8900000000001</v>
      </c>
      <c r="R7" s="40">
        <f>P7/M7*100</f>
        <v>77.29218223863036</v>
      </c>
    </row>
    <row r="8" spans="1:18" ht="14.25">
      <c r="A8" s="72">
        <v>2</v>
      </c>
      <c r="B8" s="79" t="s">
        <v>160</v>
      </c>
      <c r="C8" s="40">
        <f>160.96+131.01</f>
        <v>291.97</v>
      </c>
      <c r="D8" s="40">
        <v>54.35</v>
      </c>
      <c r="E8" s="40">
        <f aca="true" t="shared" si="0" ref="E8:E71">C8+D8</f>
        <v>346.32000000000005</v>
      </c>
      <c r="F8" s="40">
        <v>0.14</v>
      </c>
      <c r="G8" s="40">
        <v>23.86</v>
      </c>
      <c r="H8" s="40">
        <v>0</v>
      </c>
      <c r="I8" s="40">
        <f aca="true" t="shared" si="1" ref="I8:I71">F8+G8+H8</f>
        <v>24</v>
      </c>
      <c r="J8" s="40">
        <v>0.18</v>
      </c>
      <c r="K8" s="40">
        <v>0.06</v>
      </c>
      <c r="L8" s="40">
        <f aca="true" t="shared" si="2" ref="L8:L71">I8+J8+K8</f>
        <v>24.24</v>
      </c>
      <c r="M8" s="40">
        <f aca="true" t="shared" si="3" ref="M8:M71">E8-L8</f>
        <v>322.08000000000004</v>
      </c>
      <c r="N8" s="40">
        <v>140.04</v>
      </c>
      <c r="O8" s="40">
        <v>66.52</v>
      </c>
      <c r="P8" s="40">
        <f aca="true" t="shared" si="4" ref="P8:P71">N8+O8</f>
        <v>206.56</v>
      </c>
      <c r="Q8" s="40">
        <f aca="true" t="shared" si="5" ref="Q8:Q71">M8-P8</f>
        <v>115.52000000000004</v>
      </c>
      <c r="R8" s="40">
        <f aca="true" t="shared" si="6" ref="R8:R71">P8/M8*100</f>
        <v>64.1331346249379</v>
      </c>
    </row>
    <row r="9" spans="1:18" ht="14.25">
      <c r="A9" s="72">
        <v>3</v>
      </c>
      <c r="B9" s="79" t="s">
        <v>161</v>
      </c>
      <c r="C9" s="40">
        <f>89.41+108.11</f>
        <v>197.51999999999998</v>
      </c>
      <c r="D9" s="40">
        <v>27.78</v>
      </c>
      <c r="E9" s="40">
        <f t="shared" si="0"/>
        <v>225.29999999999998</v>
      </c>
      <c r="F9" s="40">
        <v>10.43</v>
      </c>
      <c r="G9" s="40">
        <v>14.43</v>
      </c>
      <c r="H9" s="40">
        <v>4.2</v>
      </c>
      <c r="I9" s="40">
        <f t="shared" si="1"/>
        <v>29.06</v>
      </c>
      <c r="J9" s="40">
        <v>0</v>
      </c>
      <c r="K9" s="40">
        <v>43.74</v>
      </c>
      <c r="L9" s="40">
        <f t="shared" si="2"/>
        <v>72.8</v>
      </c>
      <c r="M9" s="40">
        <f t="shared" si="3"/>
        <v>152.5</v>
      </c>
      <c r="N9" s="40">
        <v>104.91</v>
      </c>
      <c r="O9" s="40">
        <v>36.34</v>
      </c>
      <c r="P9" s="40">
        <f t="shared" si="4"/>
        <v>141.25</v>
      </c>
      <c r="Q9" s="40">
        <f t="shared" si="5"/>
        <v>11.25</v>
      </c>
      <c r="R9" s="40">
        <f t="shared" si="6"/>
        <v>92.62295081967213</v>
      </c>
    </row>
    <row r="10" spans="1:18" ht="14.25">
      <c r="A10" s="72">
        <v>4</v>
      </c>
      <c r="B10" s="79" t="s">
        <v>162</v>
      </c>
      <c r="C10" s="40">
        <f>85.26+150.31</f>
        <v>235.57</v>
      </c>
      <c r="D10" s="40">
        <v>69.75</v>
      </c>
      <c r="E10" s="40">
        <f t="shared" si="0"/>
        <v>305.32</v>
      </c>
      <c r="F10" s="40">
        <v>7.75</v>
      </c>
      <c r="G10" s="40">
        <v>4.36</v>
      </c>
      <c r="H10" s="40">
        <v>11.1</v>
      </c>
      <c r="I10" s="40">
        <f t="shared" si="1"/>
        <v>23.21</v>
      </c>
      <c r="J10" s="40">
        <v>0</v>
      </c>
      <c r="K10" s="40">
        <v>0</v>
      </c>
      <c r="L10" s="40">
        <f t="shared" si="2"/>
        <v>23.21</v>
      </c>
      <c r="M10" s="40">
        <f t="shared" si="3"/>
        <v>282.11</v>
      </c>
      <c r="N10" s="40">
        <v>151.07</v>
      </c>
      <c r="O10" s="40">
        <v>72.7</v>
      </c>
      <c r="P10" s="40">
        <f t="shared" si="4"/>
        <v>223.76999999999998</v>
      </c>
      <c r="Q10" s="40">
        <f t="shared" si="5"/>
        <v>58.34000000000003</v>
      </c>
      <c r="R10" s="40">
        <f t="shared" si="6"/>
        <v>79.32012335613766</v>
      </c>
    </row>
    <row r="11" spans="1:18" s="63" customFormat="1" ht="15">
      <c r="A11" s="80"/>
      <c r="B11" s="81" t="s">
        <v>35</v>
      </c>
      <c r="C11" s="41">
        <f>SUM(C7:C10)</f>
        <v>3907.01</v>
      </c>
      <c r="D11" s="41">
        <f>SUM(D7:D10)</f>
        <v>287.86</v>
      </c>
      <c r="E11" s="41">
        <f t="shared" si="0"/>
        <v>4194.87</v>
      </c>
      <c r="F11" s="41">
        <f>SUM(F7:F10)</f>
        <v>1403.2800000000002</v>
      </c>
      <c r="G11" s="41">
        <f>SUM(G7:G10)</f>
        <v>683.0799999999999</v>
      </c>
      <c r="H11" s="41">
        <f>SUM(H7:H10)</f>
        <v>61.18000000000001</v>
      </c>
      <c r="I11" s="41">
        <f t="shared" si="1"/>
        <v>2147.54</v>
      </c>
      <c r="J11" s="41">
        <f>SUM(J7:J10)</f>
        <v>0.18</v>
      </c>
      <c r="K11" s="41">
        <f>SUM(K7:K10)</f>
        <v>304.5</v>
      </c>
      <c r="L11" s="41">
        <f t="shared" si="2"/>
        <v>2452.22</v>
      </c>
      <c r="M11" s="41">
        <f t="shared" si="3"/>
        <v>1742.65</v>
      </c>
      <c r="N11" s="41">
        <f>SUM(N7:N10)</f>
        <v>958.52</v>
      </c>
      <c r="O11" s="41">
        <f>SUM(O7:O10)</f>
        <v>375.12999999999994</v>
      </c>
      <c r="P11" s="41">
        <f t="shared" si="4"/>
        <v>1333.6499999999999</v>
      </c>
      <c r="Q11" s="41">
        <f t="shared" si="5"/>
        <v>409.0000000000002</v>
      </c>
      <c r="R11" s="41">
        <f t="shared" si="6"/>
        <v>76.52999741772587</v>
      </c>
    </row>
    <row r="12" spans="1:18" ht="15">
      <c r="A12" s="72"/>
      <c r="B12" s="82" t="s">
        <v>163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4.25">
      <c r="A13" s="72">
        <v>5</v>
      </c>
      <c r="B13" s="79" t="s">
        <v>164</v>
      </c>
      <c r="C13" s="40">
        <f>85.92+387.5</f>
        <v>473.42</v>
      </c>
      <c r="D13" s="40">
        <v>51.57</v>
      </c>
      <c r="E13" s="40">
        <f t="shared" si="0"/>
        <v>524.99</v>
      </c>
      <c r="F13" s="40">
        <v>44.84</v>
      </c>
      <c r="G13" s="40">
        <v>31.5</v>
      </c>
      <c r="H13" s="40">
        <v>20.91</v>
      </c>
      <c r="I13" s="40">
        <f t="shared" si="1"/>
        <v>97.25</v>
      </c>
      <c r="J13" s="40">
        <v>0</v>
      </c>
      <c r="K13" s="40">
        <v>4.26</v>
      </c>
      <c r="L13" s="40">
        <f t="shared" si="2"/>
        <v>101.51</v>
      </c>
      <c r="M13" s="40">
        <f t="shared" si="3"/>
        <v>423.48</v>
      </c>
      <c r="N13" s="40">
        <v>334.88</v>
      </c>
      <c r="O13" s="40">
        <v>63.24</v>
      </c>
      <c r="P13" s="40">
        <f t="shared" si="4"/>
        <v>398.12</v>
      </c>
      <c r="Q13" s="40">
        <f t="shared" si="5"/>
        <v>25.360000000000014</v>
      </c>
      <c r="R13" s="40">
        <f t="shared" si="6"/>
        <v>94.01152356663832</v>
      </c>
    </row>
    <row r="14" spans="1:18" ht="14.25">
      <c r="A14" s="72">
        <v>6</v>
      </c>
      <c r="B14" s="79" t="s">
        <v>165</v>
      </c>
      <c r="C14" s="40">
        <f>24.43+216.13</f>
        <v>240.56</v>
      </c>
      <c r="D14" s="40">
        <v>37.95</v>
      </c>
      <c r="E14" s="40">
        <f t="shared" si="0"/>
        <v>278.51</v>
      </c>
      <c r="F14" s="40">
        <v>9.21</v>
      </c>
      <c r="G14" s="40">
        <v>0.51</v>
      </c>
      <c r="H14" s="40">
        <v>1.73</v>
      </c>
      <c r="I14" s="40">
        <f t="shared" si="1"/>
        <v>11.450000000000001</v>
      </c>
      <c r="J14" s="40">
        <v>2.51</v>
      </c>
      <c r="K14" s="40">
        <v>0.34</v>
      </c>
      <c r="L14" s="40">
        <f t="shared" si="2"/>
        <v>14.3</v>
      </c>
      <c r="M14" s="40">
        <f t="shared" si="3"/>
        <v>264.21</v>
      </c>
      <c r="N14" s="40">
        <v>216.9</v>
      </c>
      <c r="O14" s="40">
        <v>41.77</v>
      </c>
      <c r="P14" s="40">
        <f t="shared" si="4"/>
        <v>258.67</v>
      </c>
      <c r="Q14" s="40">
        <f t="shared" si="5"/>
        <v>5.539999999999964</v>
      </c>
      <c r="R14" s="40">
        <f t="shared" si="6"/>
        <v>97.90318307406987</v>
      </c>
    </row>
    <row r="15" spans="1:18" ht="14.25">
      <c r="A15" s="72">
        <v>7</v>
      </c>
      <c r="B15" s="79" t="s">
        <v>166</v>
      </c>
      <c r="C15" s="40">
        <f>67.5+139.5</f>
        <v>207</v>
      </c>
      <c r="D15" s="40">
        <v>18.76</v>
      </c>
      <c r="E15" s="40">
        <f t="shared" si="0"/>
        <v>225.76</v>
      </c>
      <c r="F15" s="40">
        <v>11.27</v>
      </c>
      <c r="G15" s="40">
        <v>11.33</v>
      </c>
      <c r="H15" s="40">
        <v>31.2</v>
      </c>
      <c r="I15" s="40">
        <f t="shared" si="1"/>
        <v>53.8</v>
      </c>
      <c r="J15" s="40">
        <v>0.02</v>
      </c>
      <c r="K15" s="40">
        <v>7.39</v>
      </c>
      <c r="L15" s="40">
        <f t="shared" si="2"/>
        <v>61.21</v>
      </c>
      <c r="M15" s="40">
        <f t="shared" si="3"/>
        <v>164.54999999999998</v>
      </c>
      <c r="N15" s="40">
        <v>133.75</v>
      </c>
      <c r="O15" s="40">
        <v>26.19</v>
      </c>
      <c r="P15" s="40">
        <f t="shared" si="4"/>
        <v>159.94</v>
      </c>
      <c r="Q15" s="40">
        <f t="shared" si="5"/>
        <v>4.609999999999985</v>
      </c>
      <c r="R15" s="40">
        <f t="shared" si="6"/>
        <v>97.19841993315103</v>
      </c>
    </row>
    <row r="16" spans="1:18" ht="14.25">
      <c r="A16" s="72">
        <v>8</v>
      </c>
      <c r="B16" s="79" t="s">
        <v>167</v>
      </c>
      <c r="C16" s="40">
        <f>29.43+97.62</f>
        <v>127.05000000000001</v>
      </c>
      <c r="D16" s="40">
        <v>14.43</v>
      </c>
      <c r="E16" s="40">
        <f t="shared" si="0"/>
        <v>141.48000000000002</v>
      </c>
      <c r="F16" s="40">
        <v>1.85</v>
      </c>
      <c r="G16" s="40">
        <v>4.68</v>
      </c>
      <c r="H16" s="40">
        <v>7.16</v>
      </c>
      <c r="I16" s="40">
        <f t="shared" si="1"/>
        <v>13.69</v>
      </c>
      <c r="J16" s="40">
        <v>0</v>
      </c>
      <c r="K16" s="40">
        <v>0</v>
      </c>
      <c r="L16" s="40">
        <f t="shared" si="2"/>
        <v>13.69</v>
      </c>
      <c r="M16" s="40">
        <f t="shared" si="3"/>
        <v>127.79000000000002</v>
      </c>
      <c r="N16" s="40">
        <v>87.44</v>
      </c>
      <c r="O16" s="40">
        <v>18.15</v>
      </c>
      <c r="P16" s="40">
        <f t="shared" si="4"/>
        <v>105.59</v>
      </c>
      <c r="Q16" s="40">
        <f t="shared" si="5"/>
        <v>22.200000000000017</v>
      </c>
      <c r="R16" s="40">
        <f t="shared" si="6"/>
        <v>82.6277486501291</v>
      </c>
    </row>
    <row r="17" spans="1:18" ht="14.25">
      <c r="A17" s="72">
        <v>9</v>
      </c>
      <c r="B17" s="79" t="s">
        <v>168</v>
      </c>
      <c r="C17" s="40">
        <f>10.57+75.39</f>
        <v>85.96000000000001</v>
      </c>
      <c r="D17" s="40">
        <v>11.52</v>
      </c>
      <c r="E17" s="40">
        <f t="shared" si="0"/>
        <v>97.48</v>
      </c>
      <c r="F17" s="40">
        <v>3.37</v>
      </c>
      <c r="G17" s="40">
        <v>3.53</v>
      </c>
      <c r="H17" s="40">
        <v>3.13</v>
      </c>
      <c r="I17" s="40">
        <f t="shared" si="1"/>
        <v>10.030000000000001</v>
      </c>
      <c r="J17" s="40">
        <v>0.79</v>
      </c>
      <c r="K17" s="40">
        <v>0</v>
      </c>
      <c r="L17" s="40">
        <f t="shared" si="2"/>
        <v>10.82</v>
      </c>
      <c r="M17" s="40">
        <f t="shared" si="3"/>
        <v>86.66</v>
      </c>
      <c r="N17" s="40">
        <v>76.37</v>
      </c>
      <c r="O17" s="40">
        <v>12.61</v>
      </c>
      <c r="P17" s="40">
        <f t="shared" si="4"/>
        <v>88.98</v>
      </c>
      <c r="Q17" s="40">
        <f t="shared" si="5"/>
        <v>-2.3200000000000074</v>
      </c>
      <c r="R17" s="40">
        <f t="shared" si="6"/>
        <v>102.67712900992385</v>
      </c>
    </row>
    <row r="18" spans="1:18" s="63" customFormat="1" ht="15">
      <c r="A18" s="80"/>
      <c r="B18" s="81" t="s">
        <v>35</v>
      </c>
      <c r="C18" s="41">
        <f>SUM(C13:C17)</f>
        <v>1133.99</v>
      </c>
      <c r="D18" s="41">
        <f>SUM(D13:D17)</f>
        <v>134.23000000000002</v>
      </c>
      <c r="E18" s="41">
        <f t="shared" si="0"/>
        <v>1268.22</v>
      </c>
      <c r="F18" s="41">
        <f>SUM(F13:F17)</f>
        <v>70.54</v>
      </c>
      <c r="G18" s="41">
        <f>SUM(G13:G17)</f>
        <v>51.55</v>
      </c>
      <c r="H18" s="41">
        <f>SUM(H13:H17)</f>
        <v>64.13</v>
      </c>
      <c r="I18" s="41">
        <f t="shared" si="1"/>
        <v>186.22</v>
      </c>
      <c r="J18" s="41">
        <f>SUM(J13:J17)</f>
        <v>3.32</v>
      </c>
      <c r="K18" s="41">
        <f>SUM(K13:K17)</f>
        <v>11.989999999999998</v>
      </c>
      <c r="L18" s="41">
        <f t="shared" si="2"/>
        <v>201.53</v>
      </c>
      <c r="M18" s="41">
        <f t="shared" si="3"/>
        <v>1066.69</v>
      </c>
      <c r="N18" s="41">
        <f>SUM(N13:N17)</f>
        <v>849.34</v>
      </c>
      <c r="O18" s="41">
        <f>SUM(O13:O17)</f>
        <v>161.96000000000004</v>
      </c>
      <c r="P18" s="41">
        <f t="shared" si="4"/>
        <v>1011.3000000000001</v>
      </c>
      <c r="Q18" s="41">
        <f t="shared" si="5"/>
        <v>55.389999999999986</v>
      </c>
      <c r="R18" s="41">
        <f t="shared" si="6"/>
        <v>94.80730109028866</v>
      </c>
    </row>
    <row r="19" spans="1:18" ht="15">
      <c r="A19" s="72"/>
      <c r="B19" s="82" t="s">
        <v>169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ht="14.25">
      <c r="A20" s="72">
        <v>10</v>
      </c>
      <c r="B20" s="79" t="s">
        <v>170</v>
      </c>
      <c r="C20" s="40">
        <f>126.41+258.25</f>
        <v>384.65999999999997</v>
      </c>
      <c r="D20" s="40">
        <v>69.5</v>
      </c>
      <c r="E20" s="40">
        <f t="shared" si="0"/>
        <v>454.15999999999997</v>
      </c>
      <c r="F20" s="40">
        <v>9.08</v>
      </c>
      <c r="G20" s="40">
        <v>6.79</v>
      </c>
      <c r="H20" s="40">
        <v>5.3</v>
      </c>
      <c r="I20" s="40">
        <f t="shared" si="1"/>
        <v>21.17</v>
      </c>
      <c r="J20" s="40">
        <v>0</v>
      </c>
      <c r="K20" s="40">
        <v>110.6</v>
      </c>
      <c r="L20" s="40">
        <f t="shared" si="2"/>
        <v>131.76999999999998</v>
      </c>
      <c r="M20" s="40">
        <f t="shared" si="3"/>
        <v>322.39</v>
      </c>
      <c r="N20" s="40">
        <v>254</v>
      </c>
      <c r="O20" s="40">
        <v>75.72</v>
      </c>
      <c r="P20" s="40">
        <f t="shared" si="4"/>
        <v>329.72</v>
      </c>
      <c r="Q20" s="40">
        <f t="shared" si="5"/>
        <v>-7.330000000000041</v>
      </c>
      <c r="R20" s="40">
        <f t="shared" si="6"/>
        <v>102.27364372344057</v>
      </c>
    </row>
    <row r="21" spans="1:18" ht="14.25">
      <c r="A21" s="72">
        <v>11</v>
      </c>
      <c r="B21" s="79" t="s">
        <v>171</v>
      </c>
      <c r="C21" s="40">
        <f>3.39+177.26</f>
        <v>180.64999999999998</v>
      </c>
      <c r="D21" s="40">
        <v>50.27</v>
      </c>
      <c r="E21" s="40">
        <f t="shared" si="0"/>
        <v>230.92</v>
      </c>
      <c r="F21" s="40">
        <v>0.75</v>
      </c>
      <c r="G21" s="40">
        <v>1.01</v>
      </c>
      <c r="H21" s="40">
        <v>1.16</v>
      </c>
      <c r="I21" s="40">
        <f t="shared" si="1"/>
        <v>2.92</v>
      </c>
      <c r="J21" s="40">
        <v>23.82</v>
      </c>
      <c r="K21" s="40">
        <v>2.76</v>
      </c>
      <c r="L21" s="40">
        <f t="shared" si="2"/>
        <v>29.5</v>
      </c>
      <c r="M21" s="40">
        <f t="shared" si="3"/>
        <v>201.42</v>
      </c>
      <c r="N21" s="40">
        <v>151.78</v>
      </c>
      <c r="O21" s="40">
        <v>52.83</v>
      </c>
      <c r="P21" s="40">
        <f t="shared" si="4"/>
        <v>204.61</v>
      </c>
      <c r="Q21" s="40">
        <f t="shared" si="5"/>
        <v>-3.190000000000026</v>
      </c>
      <c r="R21" s="40">
        <f t="shared" si="6"/>
        <v>101.58375533710655</v>
      </c>
    </row>
    <row r="22" spans="1:18" ht="14.25">
      <c r="A22" s="72">
        <v>12</v>
      </c>
      <c r="B22" s="79" t="s">
        <v>172</v>
      </c>
      <c r="C22" s="40">
        <f>34.47+150.58</f>
        <v>185.05</v>
      </c>
      <c r="D22" s="40">
        <v>35.53</v>
      </c>
      <c r="E22" s="40">
        <f t="shared" si="0"/>
        <v>220.58</v>
      </c>
      <c r="F22" s="40">
        <v>6.78</v>
      </c>
      <c r="G22" s="40">
        <v>1.3</v>
      </c>
      <c r="H22" s="40">
        <v>21.52</v>
      </c>
      <c r="I22" s="40">
        <f t="shared" si="1"/>
        <v>29.6</v>
      </c>
      <c r="J22" s="40">
        <v>0</v>
      </c>
      <c r="K22" s="40">
        <v>35.47</v>
      </c>
      <c r="L22" s="40">
        <f t="shared" si="2"/>
        <v>65.07</v>
      </c>
      <c r="M22" s="40">
        <f t="shared" si="3"/>
        <v>155.51000000000002</v>
      </c>
      <c r="N22" s="40">
        <v>122.47</v>
      </c>
      <c r="O22" s="40">
        <v>32.1</v>
      </c>
      <c r="P22" s="40">
        <f t="shared" si="4"/>
        <v>154.57</v>
      </c>
      <c r="Q22" s="40">
        <f t="shared" si="5"/>
        <v>0.9400000000000261</v>
      </c>
      <c r="R22" s="40">
        <f t="shared" si="6"/>
        <v>99.39553726448457</v>
      </c>
    </row>
    <row r="23" spans="1:18" ht="14.25">
      <c r="A23" s="72">
        <v>13</v>
      </c>
      <c r="B23" s="79" t="s">
        <v>173</v>
      </c>
      <c r="C23" s="40">
        <f>41.23+180.92</f>
        <v>222.14999999999998</v>
      </c>
      <c r="D23" s="40">
        <v>34.62</v>
      </c>
      <c r="E23" s="40">
        <f t="shared" si="0"/>
        <v>256.77</v>
      </c>
      <c r="F23" s="40">
        <v>10.58</v>
      </c>
      <c r="G23" s="40">
        <v>0.47</v>
      </c>
      <c r="H23" s="40">
        <v>3.95</v>
      </c>
      <c r="I23" s="40">
        <f t="shared" si="1"/>
        <v>15</v>
      </c>
      <c r="J23" s="40">
        <v>0</v>
      </c>
      <c r="K23" s="40">
        <v>0</v>
      </c>
      <c r="L23" s="40">
        <f t="shared" si="2"/>
        <v>15</v>
      </c>
      <c r="M23" s="40">
        <f t="shared" si="3"/>
        <v>241.76999999999998</v>
      </c>
      <c r="N23" s="40">
        <v>183.31</v>
      </c>
      <c r="O23" s="40">
        <v>38.73</v>
      </c>
      <c r="P23" s="40">
        <f t="shared" si="4"/>
        <v>222.04</v>
      </c>
      <c r="Q23" s="40">
        <f t="shared" si="5"/>
        <v>19.72999999999999</v>
      </c>
      <c r="R23" s="40">
        <f t="shared" si="6"/>
        <v>91.83935144972494</v>
      </c>
    </row>
    <row r="24" spans="1:18" ht="14.25">
      <c r="A24" s="72">
        <v>14</v>
      </c>
      <c r="B24" s="79" t="s">
        <v>174</v>
      </c>
      <c r="C24" s="40">
        <f>6.34+45.81</f>
        <v>52.150000000000006</v>
      </c>
      <c r="D24" s="40">
        <v>7.93</v>
      </c>
      <c r="E24" s="40">
        <f t="shared" si="0"/>
        <v>60.080000000000005</v>
      </c>
      <c r="F24" s="40">
        <v>0.2</v>
      </c>
      <c r="G24" s="40">
        <v>0.28</v>
      </c>
      <c r="H24" s="40">
        <v>1.6</v>
      </c>
      <c r="I24" s="40">
        <f t="shared" si="1"/>
        <v>2.08</v>
      </c>
      <c r="J24" s="40">
        <v>0</v>
      </c>
      <c r="K24" s="40">
        <v>5.25</v>
      </c>
      <c r="L24" s="40">
        <f t="shared" si="2"/>
        <v>7.33</v>
      </c>
      <c r="M24" s="40">
        <f t="shared" si="3"/>
        <v>52.75000000000001</v>
      </c>
      <c r="N24" s="40">
        <v>45.05</v>
      </c>
      <c r="O24" s="40">
        <v>9.8</v>
      </c>
      <c r="P24" s="40">
        <f t="shared" si="4"/>
        <v>54.849999999999994</v>
      </c>
      <c r="Q24" s="40">
        <f t="shared" si="5"/>
        <v>-2.099999999999987</v>
      </c>
      <c r="R24" s="40">
        <f t="shared" si="6"/>
        <v>103.98104265402841</v>
      </c>
    </row>
    <row r="25" spans="1:18" s="63" customFormat="1" ht="15">
      <c r="A25" s="80"/>
      <c r="B25" s="81" t="s">
        <v>35</v>
      </c>
      <c r="C25" s="41">
        <f>SUM(C20:C24)</f>
        <v>1024.6599999999999</v>
      </c>
      <c r="D25" s="41">
        <f>SUM(D20:D24)</f>
        <v>197.85000000000002</v>
      </c>
      <c r="E25" s="41">
        <f t="shared" si="0"/>
        <v>1222.5099999999998</v>
      </c>
      <c r="F25" s="41">
        <f>SUM(F20:F24)</f>
        <v>27.389999999999997</v>
      </c>
      <c r="G25" s="41">
        <f>SUM(G20:G24)</f>
        <v>9.85</v>
      </c>
      <c r="H25" s="41">
        <f>SUM(H20:H24)</f>
        <v>33.53</v>
      </c>
      <c r="I25" s="41">
        <f t="shared" si="1"/>
        <v>70.77</v>
      </c>
      <c r="J25" s="41">
        <f>SUM(J20:J24)</f>
        <v>23.82</v>
      </c>
      <c r="K25" s="41">
        <f>SUM(K20:K24)</f>
        <v>154.07999999999998</v>
      </c>
      <c r="L25" s="41">
        <f t="shared" si="2"/>
        <v>248.67</v>
      </c>
      <c r="M25" s="41">
        <f t="shared" si="3"/>
        <v>973.8399999999998</v>
      </c>
      <c r="N25" s="41">
        <f>SUM(N20:N24)</f>
        <v>756.6099999999999</v>
      </c>
      <c r="O25" s="41">
        <f>SUM(O20:O24)</f>
        <v>209.18</v>
      </c>
      <c r="P25" s="41">
        <f t="shared" si="4"/>
        <v>965.79</v>
      </c>
      <c r="Q25" s="41">
        <f t="shared" si="5"/>
        <v>8.04999999999984</v>
      </c>
      <c r="R25" s="41">
        <f t="shared" si="6"/>
        <v>99.17337550316276</v>
      </c>
    </row>
    <row r="26" spans="1:18" ht="15">
      <c r="A26" s="72"/>
      <c r="B26" s="82" t="s">
        <v>175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ht="14.25">
      <c r="A27" s="72">
        <v>15</v>
      </c>
      <c r="B27" s="79" t="s">
        <v>176</v>
      </c>
      <c r="C27" s="40">
        <f>43.69+48.28</f>
        <v>91.97</v>
      </c>
      <c r="D27" s="40">
        <v>13.13</v>
      </c>
      <c r="E27" s="40">
        <f t="shared" si="0"/>
        <v>105.1</v>
      </c>
      <c r="F27" s="40">
        <v>1.3</v>
      </c>
      <c r="G27" s="40">
        <v>4.92</v>
      </c>
      <c r="H27" s="40">
        <v>5.26</v>
      </c>
      <c r="I27" s="40">
        <f t="shared" si="1"/>
        <v>11.48</v>
      </c>
      <c r="J27" s="40">
        <v>0</v>
      </c>
      <c r="K27" s="40">
        <v>0.16</v>
      </c>
      <c r="L27" s="40">
        <f t="shared" si="2"/>
        <v>11.64</v>
      </c>
      <c r="M27" s="40">
        <f t="shared" si="3"/>
        <v>93.46</v>
      </c>
      <c r="N27" s="40">
        <v>60.9</v>
      </c>
      <c r="O27" s="40">
        <v>18.67</v>
      </c>
      <c r="P27" s="40">
        <f t="shared" si="4"/>
        <v>79.57</v>
      </c>
      <c r="Q27" s="40">
        <f t="shared" si="5"/>
        <v>13.89</v>
      </c>
      <c r="R27" s="40">
        <f t="shared" si="6"/>
        <v>85.1380269634068</v>
      </c>
    </row>
    <row r="28" spans="1:18" ht="14.25">
      <c r="A28" s="72">
        <v>16</v>
      </c>
      <c r="B28" s="79" t="s">
        <v>177</v>
      </c>
      <c r="C28" s="40">
        <f>18.46+96.82</f>
        <v>115.28</v>
      </c>
      <c r="D28" s="40">
        <v>11.18</v>
      </c>
      <c r="E28" s="40">
        <f t="shared" si="0"/>
        <v>126.46000000000001</v>
      </c>
      <c r="F28" s="40">
        <v>4.28</v>
      </c>
      <c r="G28" s="40">
        <v>0.51</v>
      </c>
      <c r="H28" s="40">
        <v>1.72</v>
      </c>
      <c r="I28" s="40">
        <f t="shared" si="1"/>
        <v>6.51</v>
      </c>
      <c r="J28" s="40">
        <v>0</v>
      </c>
      <c r="K28" s="40">
        <v>0</v>
      </c>
      <c r="L28" s="40">
        <f t="shared" si="2"/>
        <v>6.51</v>
      </c>
      <c r="M28" s="40">
        <f t="shared" si="3"/>
        <v>119.95</v>
      </c>
      <c r="N28" s="40">
        <v>98.4</v>
      </c>
      <c r="O28" s="40">
        <v>15.54</v>
      </c>
      <c r="P28" s="40">
        <f t="shared" si="4"/>
        <v>113.94</v>
      </c>
      <c r="Q28" s="40">
        <f t="shared" si="5"/>
        <v>6.010000000000005</v>
      </c>
      <c r="R28" s="40">
        <f t="shared" si="6"/>
        <v>94.98957899124635</v>
      </c>
    </row>
    <row r="29" spans="1:18" ht="14.25">
      <c r="A29" s="72">
        <v>17</v>
      </c>
      <c r="B29" s="79" t="s">
        <v>178</v>
      </c>
      <c r="C29" s="40">
        <f>12.08+71.24</f>
        <v>83.32</v>
      </c>
      <c r="D29" s="40">
        <v>21</v>
      </c>
      <c r="E29" s="40">
        <f t="shared" si="0"/>
        <v>104.32</v>
      </c>
      <c r="F29" s="40">
        <v>8.95</v>
      </c>
      <c r="G29" s="40">
        <v>2.12</v>
      </c>
      <c r="H29" s="40">
        <v>0.97</v>
      </c>
      <c r="I29" s="40">
        <f t="shared" si="1"/>
        <v>12.040000000000001</v>
      </c>
      <c r="J29" s="40">
        <v>0</v>
      </c>
      <c r="K29" s="40">
        <v>1.85</v>
      </c>
      <c r="L29" s="40">
        <f t="shared" si="2"/>
        <v>13.89</v>
      </c>
      <c r="M29" s="40">
        <f t="shared" si="3"/>
        <v>90.42999999999999</v>
      </c>
      <c r="N29" s="40">
        <v>67.6</v>
      </c>
      <c r="O29" s="40">
        <v>23.1</v>
      </c>
      <c r="P29" s="40">
        <f t="shared" si="4"/>
        <v>90.69999999999999</v>
      </c>
      <c r="Q29" s="40">
        <f t="shared" si="5"/>
        <v>-0.269999999999996</v>
      </c>
      <c r="R29" s="40">
        <f t="shared" si="6"/>
        <v>100.29857348225147</v>
      </c>
    </row>
    <row r="30" spans="1:18" ht="14.25">
      <c r="A30" s="72">
        <v>18</v>
      </c>
      <c r="B30" s="79" t="s">
        <v>179</v>
      </c>
      <c r="C30" s="40">
        <f>44.14+34.36</f>
        <v>78.5</v>
      </c>
      <c r="D30" s="40">
        <v>2.49</v>
      </c>
      <c r="E30" s="40">
        <f t="shared" si="0"/>
        <v>80.99</v>
      </c>
      <c r="F30" s="40">
        <v>0.86</v>
      </c>
      <c r="G30" s="40">
        <v>0.44</v>
      </c>
      <c r="H30" s="40">
        <v>1.02</v>
      </c>
      <c r="I30" s="40">
        <f t="shared" si="1"/>
        <v>2.3200000000000003</v>
      </c>
      <c r="J30" s="40">
        <v>0</v>
      </c>
      <c r="K30" s="40">
        <v>34.56</v>
      </c>
      <c r="L30" s="40">
        <f t="shared" si="2"/>
        <v>36.88</v>
      </c>
      <c r="M30" s="40">
        <f t="shared" si="3"/>
        <v>44.10999999999999</v>
      </c>
      <c r="N30" s="40">
        <v>41.66</v>
      </c>
      <c r="O30" s="40">
        <v>4.42</v>
      </c>
      <c r="P30" s="40">
        <f t="shared" si="4"/>
        <v>46.08</v>
      </c>
      <c r="Q30" s="40">
        <f t="shared" si="5"/>
        <v>-1.970000000000006</v>
      </c>
      <c r="R30" s="40">
        <f t="shared" si="6"/>
        <v>104.46610745862617</v>
      </c>
    </row>
    <row r="31" spans="1:18" ht="14.25">
      <c r="A31" s="72">
        <v>19</v>
      </c>
      <c r="B31" s="79" t="s">
        <v>180</v>
      </c>
      <c r="C31" s="40">
        <f>50.5+71.96</f>
        <v>122.46</v>
      </c>
      <c r="D31" s="40">
        <v>19.6</v>
      </c>
      <c r="E31" s="40">
        <f t="shared" si="0"/>
        <v>142.06</v>
      </c>
      <c r="F31" s="40">
        <v>9.83</v>
      </c>
      <c r="G31" s="40">
        <v>8.64</v>
      </c>
      <c r="H31" s="40">
        <v>1.38</v>
      </c>
      <c r="I31" s="40">
        <f t="shared" si="1"/>
        <v>19.849999999999998</v>
      </c>
      <c r="J31" s="40">
        <v>0</v>
      </c>
      <c r="K31" s="40">
        <v>0.02</v>
      </c>
      <c r="L31" s="40">
        <f t="shared" si="2"/>
        <v>19.869999999999997</v>
      </c>
      <c r="M31" s="40">
        <f t="shared" si="3"/>
        <v>122.19</v>
      </c>
      <c r="N31" s="40">
        <v>74.56</v>
      </c>
      <c r="O31" s="40">
        <v>20.3</v>
      </c>
      <c r="P31" s="40">
        <f t="shared" si="4"/>
        <v>94.86</v>
      </c>
      <c r="Q31" s="40">
        <f t="shared" si="5"/>
        <v>27.33</v>
      </c>
      <c r="R31" s="40">
        <f t="shared" si="6"/>
        <v>77.63319420574516</v>
      </c>
    </row>
    <row r="32" spans="1:18" ht="14.25">
      <c r="A32" s="72">
        <v>20</v>
      </c>
      <c r="B32" s="79" t="s">
        <v>181</v>
      </c>
      <c r="C32" s="40">
        <f>98.55+94.1</f>
        <v>192.64999999999998</v>
      </c>
      <c r="D32" s="40">
        <v>12.86</v>
      </c>
      <c r="E32" s="40">
        <f t="shared" si="0"/>
        <v>205.51</v>
      </c>
      <c r="F32" s="40">
        <v>50.12</v>
      </c>
      <c r="G32" s="40">
        <v>1.2</v>
      </c>
      <c r="H32" s="40">
        <v>2.65</v>
      </c>
      <c r="I32" s="40">
        <f t="shared" si="1"/>
        <v>53.97</v>
      </c>
      <c r="J32" s="40">
        <v>10</v>
      </c>
      <c r="K32" s="40">
        <v>2.27</v>
      </c>
      <c r="L32" s="40">
        <f t="shared" si="2"/>
        <v>66.24</v>
      </c>
      <c r="M32" s="40">
        <f t="shared" si="3"/>
        <v>139.26999999999998</v>
      </c>
      <c r="N32" s="40">
        <v>87</v>
      </c>
      <c r="O32" s="40">
        <v>17.06</v>
      </c>
      <c r="P32" s="40">
        <f t="shared" si="4"/>
        <v>104.06</v>
      </c>
      <c r="Q32" s="40">
        <f t="shared" si="5"/>
        <v>35.20999999999998</v>
      </c>
      <c r="R32" s="40">
        <f t="shared" si="6"/>
        <v>74.71817333237597</v>
      </c>
    </row>
    <row r="33" spans="1:18" s="63" customFormat="1" ht="15">
      <c r="A33" s="80"/>
      <c r="B33" s="81" t="s">
        <v>35</v>
      </c>
      <c r="C33" s="41">
        <f>SUM(C27:C32)</f>
        <v>684.18</v>
      </c>
      <c r="D33" s="41">
        <f>SUM(D27:D32)</f>
        <v>80.26</v>
      </c>
      <c r="E33" s="41">
        <f t="shared" si="0"/>
        <v>764.4399999999999</v>
      </c>
      <c r="F33" s="41">
        <f>SUM(F27:F32)</f>
        <v>75.34</v>
      </c>
      <c r="G33" s="41">
        <f>SUM(G27:G32)</f>
        <v>17.830000000000002</v>
      </c>
      <c r="H33" s="41">
        <f>SUM(H27:H32)</f>
        <v>12.999999999999998</v>
      </c>
      <c r="I33" s="41">
        <f t="shared" si="1"/>
        <v>106.17</v>
      </c>
      <c r="J33" s="41">
        <f>SUM(J27:J32)</f>
        <v>10</v>
      </c>
      <c r="K33" s="41">
        <f>SUM(K27:K32)</f>
        <v>38.86000000000001</v>
      </c>
      <c r="L33" s="41">
        <f t="shared" si="2"/>
        <v>155.03</v>
      </c>
      <c r="M33" s="41">
        <f t="shared" si="3"/>
        <v>609.41</v>
      </c>
      <c r="N33" s="41">
        <f>SUM(N27:N32)</f>
        <v>430.12</v>
      </c>
      <c r="O33" s="41">
        <f>SUM(O27:O32)</f>
        <v>99.09</v>
      </c>
      <c r="P33" s="41">
        <f t="shared" si="4"/>
        <v>529.21</v>
      </c>
      <c r="Q33" s="41">
        <f t="shared" si="5"/>
        <v>80.19999999999993</v>
      </c>
      <c r="R33" s="41">
        <f t="shared" si="6"/>
        <v>86.83973023087906</v>
      </c>
    </row>
    <row r="34" spans="1:18" ht="15">
      <c r="A34" s="72"/>
      <c r="B34" s="82" t="s">
        <v>182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14.25">
      <c r="A35" s="72">
        <v>21</v>
      </c>
      <c r="B35" s="79" t="s">
        <v>183</v>
      </c>
      <c r="C35" s="40">
        <f>32.4+76.89</f>
        <v>109.28999999999999</v>
      </c>
      <c r="D35" s="40">
        <v>25</v>
      </c>
      <c r="E35" s="40">
        <f t="shared" si="0"/>
        <v>134.29</v>
      </c>
      <c r="F35" s="40">
        <v>13.58</v>
      </c>
      <c r="G35" s="40">
        <v>6.02</v>
      </c>
      <c r="H35" s="40">
        <v>2.92</v>
      </c>
      <c r="I35" s="40">
        <f t="shared" si="1"/>
        <v>22.520000000000003</v>
      </c>
      <c r="J35" s="40">
        <v>0.61</v>
      </c>
      <c r="K35" s="40">
        <v>11.55</v>
      </c>
      <c r="L35" s="40">
        <f t="shared" si="2"/>
        <v>34.68000000000001</v>
      </c>
      <c r="M35" s="40">
        <f t="shared" si="3"/>
        <v>99.60999999999999</v>
      </c>
      <c r="N35" s="40">
        <v>78.24</v>
      </c>
      <c r="O35" s="40">
        <v>25.13</v>
      </c>
      <c r="P35" s="40">
        <f t="shared" si="4"/>
        <v>103.36999999999999</v>
      </c>
      <c r="Q35" s="40">
        <f t="shared" si="5"/>
        <v>-3.760000000000005</v>
      </c>
      <c r="R35" s="40">
        <f t="shared" si="6"/>
        <v>103.77472141351272</v>
      </c>
    </row>
    <row r="36" spans="1:18" ht="14.25">
      <c r="A36" s="72">
        <v>22</v>
      </c>
      <c r="B36" s="79" t="s">
        <v>184</v>
      </c>
      <c r="C36" s="40">
        <f>28.39+106.53</f>
        <v>134.92000000000002</v>
      </c>
      <c r="D36" s="40">
        <v>22.74</v>
      </c>
      <c r="E36" s="40">
        <f t="shared" si="0"/>
        <v>157.66000000000003</v>
      </c>
      <c r="F36" s="40">
        <v>3.42</v>
      </c>
      <c r="G36" s="40">
        <v>2.26</v>
      </c>
      <c r="H36" s="40">
        <v>1.74</v>
      </c>
      <c r="I36" s="40">
        <f t="shared" si="1"/>
        <v>7.42</v>
      </c>
      <c r="J36" s="40">
        <v>0.02</v>
      </c>
      <c r="K36" s="40">
        <v>22.31</v>
      </c>
      <c r="L36" s="40">
        <f t="shared" si="2"/>
        <v>29.75</v>
      </c>
      <c r="M36" s="40">
        <f t="shared" si="3"/>
        <v>127.91000000000003</v>
      </c>
      <c r="N36" s="40">
        <v>105.85</v>
      </c>
      <c r="O36" s="40">
        <v>31.99</v>
      </c>
      <c r="P36" s="40">
        <f t="shared" si="4"/>
        <v>137.84</v>
      </c>
      <c r="Q36" s="40">
        <f t="shared" si="5"/>
        <v>-9.929999999999978</v>
      </c>
      <c r="R36" s="40">
        <f t="shared" si="6"/>
        <v>107.76327104995698</v>
      </c>
    </row>
    <row r="37" spans="1:18" ht="14.25">
      <c r="A37" s="72">
        <v>23</v>
      </c>
      <c r="B37" s="79" t="s">
        <v>185</v>
      </c>
      <c r="C37" s="40">
        <f>167.36+164.81</f>
        <v>332.17</v>
      </c>
      <c r="D37" s="40">
        <v>111.57</v>
      </c>
      <c r="E37" s="40">
        <f t="shared" si="0"/>
        <v>443.74</v>
      </c>
      <c r="F37" s="40">
        <v>62.76</v>
      </c>
      <c r="G37" s="40">
        <v>16.79</v>
      </c>
      <c r="H37" s="40">
        <v>7.66</v>
      </c>
      <c r="I37" s="40">
        <f t="shared" si="1"/>
        <v>87.21</v>
      </c>
      <c r="J37" s="40">
        <v>1.9</v>
      </c>
      <c r="K37" s="40">
        <v>34.51</v>
      </c>
      <c r="L37" s="40">
        <f t="shared" si="2"/>
        <v>123.62</v>
      </c>
      <c r="M37" s="40">
        <f t="shared" si="3"/>
        <v>320.12</v>
      </c>
      <c r="N37" s="40">
        <v>189.2</v>
      </c>
      <c r="O37" s="40">
        <v>116.83</v>
      </c>
      <c r="P37" s="40">
        <f t="shared" si="4"/>
        <v>306.03</v>
      </c>
      <c r="Q37" s="40">
        <f t="shared" si="5"/>
        <v>14.090000000000032</v>
      </c>
      <c r="R37" s="40">
        <f t="shared" si="6"/>
        <v>95.59852555291765</v>
      </c>
    </row>
    <row r="38" spans="1:18" ht="14.25">
      <c r="A38" s="72">
        <v>24</v>
      </c>
      <c r="B38" s="79" t="s">
        <v>186</v>
      </c>
      <c r="C38" s="40">
        <f>21.43+189.64</f>
        <v>211.07</v>
      </c>
      <c r="D38" s="40">
        <v>26.83</v>
      </c>
      <c r="E38" s="40">
        <f t="shared" si="0"/>
        <v>237.89999999999998</v>
      </c>
      <c r="F38" s="40">
        <v>21.12</v>
      </c>
      <c r="G38" s="40">
        <v>0.56</v>
      </c>
      <c r="H38" s="40">
        <v>2.53</v>
      </c>
      <c r="I38" s="40">
        <f t="shared" si="1"/>
        <v>24.21</v>
      </c>
      <c r="J38" s="40">
        <v>3.53</v>
      </c>
      <c r="K38" s="40">
        <v>1.03</v>
      </c>
      <c r="L38" s="40">
        <f t="shared" si="2"/>
        <v>28.770000000000003</v>
      </c>
      <c r="M38" s="40">
        <f t="shared" si="3"/>
        <v>209.12999999999997</v>
      </c>
      <c r="N38" s="40">
        <v>170.55</v>
      </c>
      <c r="O38" s="40">
        <v>29.6</v>
      </c>
      <c r="P38" s="40">
        <f t="shared" si="4"/>
        <v>200.15</v>
      </c>
      <c r="Q38" s="40">
        <f t="shared" si="5"/>
        <v>8.979999999999961</v>
      </c>
      <c r="R38" s="40">
        <f t="shared" si="6"/>
        <v>95.70602017883616</v>
      </c>
    </row>
    <row r="39" spans="1:18" ht="14.25">
      <c r="A39" s="72">
        <v>25</v>
      </c>
      <c r="B39" s="79" t="s">
        <v>187</v>
      </c>
      <c r="C39" s="40">
        <f>60.77+102.81</f>
        <v>163.58</v>
      </c>
      <c r="D39" s="40">
        <v>35.53</v>
      </c>
      <c r="E39" s="40">
        <f t="shared" si="0"/>
        <v>199.11</v>
      </c>
      <c r="F39" s="40">
        <v>4.33</v>
      </c>
      <c r="G39" s="40">
        <v>46.07</v>
      </c>
      <c r="H39" s="40">
        <v>8.28</v>
      </c>
      <c r="I39" s="40">
        <f t="shared" si="1"/>
        <v>58.68</v>
      </c>
      <c r="J39" s="40">
        <v>0</v>
      </c>
      <c r="K39" s="40">
        <v>14.22</v>
      </c>
      <c r="L39" s="40">
        <f t="shared" si="2"/>
        <v>72.9</v>
      </c>
      <c r="M39" s="40">
        <f t="shared" si="3"/>
        <v>126.21000000000001</v>
      </c>
      <c r="N39" s="40">
        <v>87.98</v>
      </c>
      <c r="O39" s="40">
        <v>43.46</v>
      </c>
      <c r="P39" s="40">
        <f t="shared" si="4"/>
        <v>131.44</v>
      </c>
      <c r="Q39" s="40">
        <f t="shared" si="5"/>
        <v>-5.22999999999999</v>
      </c>
      <c r="R39" s="40">
        <f t="shared" si="6"/>
        <v>104.14388717217335</v>
      </c>
    </row>
    <row r="40" spans="1:18" s="63" customFormat="1" ht="15">
      <c r="A40" s="80"/>
      <c r="B40" s="81" t="s">
        <v>35</v>
      </c>
      <c r="C40" s="41">
        <f>SUM(C35:C39)</f>
        <v>951.0300000000001</v>
      </c>
      <c r="D40" s="41">
        <f>SUM(D35:D39)</f>
        <v>221.67</v>
      </c>
      <c r="E40" s="41">
        <f t="shared" si="0"/>
        <v>1172.7</v>
      </c>
      <c r="F40" s="41">
        <f>SUM(F35:F39)</f>
        <v>105.21</v>
      </c>
      <c r="G40" s="41">
        <f>SUM(G35:G39)</f>
        <v>71.7</v>
      </c>
      <c r="H40" s="41">
        <f>SUM(H35:H39)</f>
        <v>23.13</v>
      </c>
      <c r="I40" s="41">
        <f t="shared" si="1"/>
        <v>200.04</v>
      </c>
      <c r="J40" s="41">
        <f>SUM(J35:J39)</f>
        <v>6.06</v>
      </c>
      <c r="K40" s="41">
        <f>SUM(K35:K39)</f>
        <v>83.62</v>
      </c>
      <c r="L40" s="41">
        <f t="shared" si="2"/>
        <v>289.72</v>
      </c>
      <c r="M40" s="41">
        <f t="shared" si="3"/>
        <v>882.98</v>
      </c>
      <c r="N40" s="41">
        <f>SUM(N35:N39)</f>
        <v>631.8199999999999</v>
      </c>
      <c r="O40" s="41">
        <f>SUM(O35:O39)</f>
        <v>247.01</v>
      </c>
      <c r="P40" s="41">
        <f t="shared" si="4"/>
        <v>878.8299999999999</v>
      </c>
      <c r="Q40" s="41">
        <f t="shared" si="5"/>
        <v>4.150000000000091</v>
      </c>
      <c r="R40" s="41">
        <f t="shared" si="6"/>
        <v>99.53000067951709</v>
      </c>
    </row>
    <row r="41" spans="1:18" ht="15">
      <c r="A41" s="72"/>
      <c r="B41" s="82" t="s">
        <v>188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14.25">
      <c r="A42" s="72">
        <v>26</v>
      </c>
      <c r="B42" s="79" t="s">
        <v>189</v>
      </c>
      <c r="C42" s="40">
        <f>63.67+137.51</f>
        <v>201.18</v>
      </c>
      <c r="D42" s="40">
        <v>17.11</v>
      </c>
      <c r="E42" s="40">
        <f t="shared" si="0"/>
        <v>218.29000000000002</v>
      </c>
      <c r="F42" s="40">
        <v>8.91</v>
      </c>
      <c r="G42" s="40">
        <v>36.2</v>
      </c>
      <c r="H42" s="40">
        <v>19.6</v>
      </c>
      <c r="I42" s="40">
        <f t="shared" si="1"/>
        <v>64.71000000000001</v>
      </c>
      <c r="J42" s="40">
        <v>1.64</v>
      </c>
      <c r="K42" s="40">
        <v>12.89</v>
      </c>
      <c r="L42" s="40">
        <f t="shared" si="2"/>
        <v>79.24000000000001</v>
      </c>
      <c r="M42" s="40">
        <f t="shared" si="3"/>
        <v>139.05</v>
      </c>
      <c r="N42" s="40">
        <v>114.18</v>
      </c>
      <c r="O42" s="40">
        <v>24.61</v>
      </c>
      <c r="P42" s="40">
        <f t="shared" si="4"/>
        <v>138.79000000000002</v>
      </c>
      <c r="Q42" s="40">
        <f t="shared" si="5"/>
        <v>0.2599999999999909</v>
      </c>
      <c r="R42" s="40">
        <f t="shared" si="6"/>
        <v>99.81301690039555</v>
      </c>
    </row>
    <row r="43" spans="1:18" ht="14.25">
      <c r="A43" s="72">
        <v>27</v>
      </c>
      <c r="B43" s="79" t="s">
        <v>190</v>
      </c>
      <c r="C43" s="40">
        <f>116.91+88.72</f>
        <v>205.63</v>
      </c>
      <c r="D43" s="40">
        <v>11.43</v>
      </c>
      <c r="E43" s="40">
        <f t="shared" si="0"/>
        <v>217.06</v>
      </c>
      <c r="F43" s="40">
        <v>31.43</v>
      </c>
      <c r="G43" s="40">
        <v>40.98</v>
      </c>
      <c r="H43" s="40">
        <v>1.28</v>
      </c>
      <c r="I43" s="40">
        <f t="shared" si="1"/>
        <v>73.69</v>
      </c>
      <c r="J43" s="40">
        <v>0</v>
      </c>
      <c r="K43" s="40">
        <v>0</v>
      </c>
      <c r="L43" s="40">
        <f t="shared" si="2"/>
        <v>73.69</v>
      </c>
      <c r="M43" s="40">
        <f t="shared" si="3"/>
        <v>143.37</v>
      </c>
      <c r="N43" s="40">
        <v>100.21</v>
      </c>
      <c r="O43" s="40">
        <v>37.33</v>
      </c>
      <c r="P43" s="40">
        <f t="shared" si="4"/>
        <v>137.54</v>
      </c>
      <c r="Q43" s="40">
        <f t="shared" si="5"/>
        <v>5.8300000000000125</v>
      </c>
      <c r="R43" s="40">
        <f t="shared" si="6"/>
        <v>95.93359838180929</v>
      </c>
    </row>
    <row r="44" spans="1:18" ht="14.25">
      <c r="A44" s="72">
        <v>28</v>
      </c>
      <c r="B44" s="79" t="s">
        <v>191</v>
      </c>
      <c r="C44" s="40">
        <f>59.79+53.72</f>
        <v>113.50999999999999</v>
      </c>
      <c r="D44" s="40">
        <v>3.86</v>
      </c>
      <c r="E44" s="40">
        <f t="shared" si="0"/>
        <v>117.36999999999999</v>
      </c>
      <c r="F44" s="40">
        <v>13.68</v>
      </c>
      <c r="G44" s="40">
        <v>0</v>
      </c>
      <c r="H44" s="40">
        <v>8.3</v>
      </c>
      <c r="I44" s="40">
        <f t="shared" si="1"/>
        <v>21.98</v>
      </c>
      <c r="J44" s="40">
        <v>0</v>
      </c>
      <c r="K44" s="40">
        <v>0.06</v>
      </c>
      <c r="L44" s="40">
        <f t="shared" si="2"/>
        <v>22.04</v>
      </c>
      <c r="M44" s="40">
        <f t="shared" si="3"/>
        <v>95.32999999999998</v>
      </c>
      <c r="N44" s="40">
        <v>62.16</v>
      </c>
      <c r="O44" s="40">
        <v>36.94</v>
      </c>
      <c r="P44" s="40">
        <f t="shared" si="4"/>
        <v>99.1</v>
      </c>
      <c r="Q44" s="40">
        <f t="shared" si="5"/>
        <v>-3.7700000000000102</v>
      </c>
      <c r="R44" s="40">
        <f t="shared" si="6"/>
        <v>103.95468373020036</v>
      </c>
    </row>
    <row r="45" spans="1:18" ht="14.25">
      <c r="A45" s="72">
        <v>29</v>
      </c>
      <c r="B45" s="79" t="s">
        <v>192</v>
      </c>
      <c r="C45" s="40">
        <f>21.08+373.79</f>
        <v>394.87</v>
      </c>
      <c r="D45" s="40">
        <v>6.2</v>
      </c>
      <c r="E45" s="40">
        <f t="shared" si="0"/>
        <v>401.07</v>
      </c>
      <c r="F45" s="40">
        <v>2.65</v>
      </c>
      <c r="G45" s="40">
        <v>1.68</v>
      </c>
      <c r="H45" s="40">
        <v>4.73</v>
      </c>
      <c r="I45" s="40">
        <f t="shared" si="1"/>
        <v>9.06</v>
      </c>
      <c r="J45" s="40">
        <v>0.8</v>
      </c>
      <c r="K45" s="40">
        <v>0.15</v>
      </c>
      <c r="L45" s="40">
        <f t="shared" si="2"/>
        <v>10.010000000000002</v>
      </c>
      <c r="M45" s="40">
        <f t="shared" si="3"/>
        <v>391.06</v>
      </c>
      <c r="N45" s="40">
        <v>98.6</v>
      </c>
      <c r="O45" s="40">
        <v>14.16</v>
      </c>
      <c r="P45" s="40">
        <f t="shared" si="4"/>
        <v>112.75999999999999</v>
      </c>
      <c r="Q45" s="40">
        <f t="shared" si="5"/>
        <v>278.3</v>
      </c>
      <c r="R45" s="40">
        <f t="shared" si="6"/>
        <v>28.834449956528406</v>
      </c>
    </row>
    <row r="46" spans="1:18" s="63" customFormat="1" ht="15">
      <c r="A46" s="80"/>
      <c r="B46" s="81" t="s">
        <v>35</v>
      </c>
      <c r="C46" s="41">
        <f>SUM(C42:C45)</f>
        <v>915.1899999999999</v>
      </c>
      <c r="D46" s="41">
        <f>SUM(D42:D45)</f>
        <v>38.6</v>
      </c>
      <c r="E46" s="41">
        <f t="shared" si="0"/>
        <v>953.79</v>
      </c>
      <c r="F46" s="41">
        <f>SUM(F42:F45)</f>
        <v>56.67</v>
      </c>
      <c r="G46" s="41">
        <f>SUM(G42:G45)</f>
        <v>78.86000000000001</v>
      </c>
      <c r="H46" s="41">
        <f>SUM(H42:H45)</f>
        <v>33.910000000000004</v>
      </c>
      <c r="I46" s="41">
        <f t="shared" si="1"/>
        <v>169.44000000000003</v>
      </c>
      <c r="J46" s="41">
        <f>SUM(J42:J45)</f>
        <v>2.44</v>
      </c>
      <c r="K46" s="41">
        <f>SUM(K42:K45)</f>
        <v>13.100000000000001</v>
      </c>
      <c r="L46" s="41">
        <f t="shared" si="2"/>
        <v>184.98000000000002</v>
      </c>
      <c r="M46" s="41">
        <f t="shared" si="3"/>
        <v>768.81</v>
      </c>
      <c r="N46" s="41">
        <f>SUM(N42:N45)</f>
        <v>375.15</v>
      </c>
      <c r="O46" s="41">
        <f>SUM(O42:O45)</f>
        <v>113.03999999999999</v>
      </c>
      <c r="P46" s="41">
        <f t="shared" si="4"/>
        <v>488.18999999999994</v>
      </c>
      <c r="Q46" s="41">
        <f t="shared" si="5"/>
        <v>280.62</v>
      </c>
      <c r="R46" s="41">
        <f t="shared" si="6"/>
        <v>63.4994341905022</v>
      </c>
    </row>
    <row r="47" spans="1:18" ht="15">
      <c r="A47" s="72"/>
      <c r="B47" s="82" t="s">
        <v>193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ht="14.25">
      <c r="A48" s="72">
        <v>30</v>
      </c>
      <c r="B48" s="79" t="s">
        <v>194</v>
      </c>
      <c r="C48" s="40">
        <f>31.51+87.85</f>
        <v>119.36</v>
      </c>
      <c r="D48" s="40">
        <v>19.75</v>
      </c>
      <c r="E48" s="40">
        <f t="shared" si="0"/>
        <v>139.11</v>
      </c>
      <c r="F48" s="40">
        <v>14.1</v>
      </c>
      <c r="G48" s="40">
        <v>4.92</v>
      </c>
      <c r="H48" s="40">
        <v>1.44</v>
      </c>
      <c r="I48" s="40">
        <f t="shared" si="1"/>
        <v>20.46</v>
      </c>
      <c r="J48" s="40">
        <v>0.14</v>
      </c>
      <c r="K48" s="40">
        <v>7.31</v>
      </c>
      <c r="L48" s="40">
        <f t="shared" si="2"/>
        <v>27.91</v>
      </c>
      <c r="M48" s="40">
        <f t="shared" si="3"/>
        <v>111.20000000000002</v>
      </c>
      <c r="N48" s="40">
        <v>91.35</v>
      </c>
      <c r="O48" s="40">
        <v>17.28</v>
      </c>
      <c r="P48" s="40">
        <f t="shared" si="4"/>
        <v>108.63</v>
      </c>
      <c r="Q48" s="40">
        <f t="shared" si="5"/>
        <v>2.5700000000000216</v>
      </c>
      <c r="R48" s="40">
        <f t="shared" si="6"/>
        <v>97.6888489208633</v>
      </c>
    </row>
    <row r="49" spans="1:18" ht="14.25">
      <c r="A49" s="72">
        <v>31</v>
      </c>
      <c r="B49" s="79" t="s">
        <v>195</v>
      </c>
      <c r="C49" s="40">
        <f>42.54+177.56</f>
        <v>220.1</v>
      </c>
      <c r="D49" s="40">
        <v>69.14</v>
      </c>
      <c r="E49" s="40">
        <f t="shared" si="0"/>
        <v>289.24</v>
      </c>
      <c r="F49" s="40">
        <v>37.42</v>
      </c>
      <c r="G49" s="40">
        <v>2.79</v>
      </c>
      <c r="H49" s="40">
        <v>0.45</v>
      </c>
      <c r="I49" s="40">
        <f t="shared" si="1"/>
        <v>40.660000000000004</v>
      </c>
      <c r="J49" s="40">
        <v>0</v>
      </c>
      <c r="K49" s="40">
        <v>0</v>
      </c>
      <c r="L49" s="40">
        <f t="shared" si="2"/>
        <v>40.660000000000004</v>
      </c>
      <c r="M49" s="40">
        <f t="shared" si="3"/>
        <v>248.58</v>
      </c>
      <c r="N49" s="40">
        <v>166.74</v>
      </c>
      <c r="O49" s="40">
        <v>73.86</v>
      </c>
      <c r="P49" s="40">
        <f t="shared" si="4"/>
        <v>240.60000000000002</v>
      </c>
      <c r="Q49" s="40">
        <f t="shared" si="5"/>
        <v>7.97999999999999</v>
      </c>
      <c r="R49" s="40">
        <f t="shared" si="6"/>
        <v>96.7897658701424</v>
      </c>
    </row>
    <row r="50" spans="1:18" ht="14.25">
      <c r="A50" s="72">
        <v>32</v>
      </c>
      <c r="B50" s="79" t="s">
        <v>196</v>
      </c>
      <c r="C50" s="40">
        <f>57.98+144.14</f>
        <v>202.11999999999998</v>
      </c>
      <c r="D50" s="40">
        <v>53.68</v>
      </c>
      <c r="E50" s="40">
        <f t="shared" si="0"/>
        <v>255.79999999999998</v>
      </c>
      <c r="F50" s="40">
        <v>26.03</v>
      </c>
      <c r="G50" s="40">
        <v>3.77</v>
      </c>
      <c r="H50" s="40">
        <v>16.5</v>
      </c>
      <c r="I50" s="40">
        <f t="shared" si="1"/>
        <v>46.3</v>
      </c>
      <c r="J50" s="40">
        <v>0</v>
      </c>
      <c r="K50" s="40">
        <v>0.18</v>
      </c>
      <c r="L50" s="40">
        <f t="shared" si="2"/>
        <v>46.48</v>
      </c>
      <c r="M50" s="40">
        <f t="shared" si="3"/>
        <v>209.32</v>
      </c>
      <c r="N50" s="40">
        <v>149.31</v>
      </c>
      <c r="O50" s="40">
        <v>55.04</v>
      </c>
      <c r="P50" s="40">
        <f t="shared" si="4"/>
        <v>204.35</v>
      </c>
      <c r="Q50" s="40">
        <f t="shared" si="5"/>
        <v>4.969999999999999</v>
      </c>
      <c r="R50" s="40">
        <f t="shared" si="6"/>
        <v>97.62564494553794</v>
      </c>
    </row>
    <row r="51" spans="1:18" ht="14.25">
      <c r="A51" s="72">
        <v>33</v>
      </c>
      <c r="B51" s="79" t="s">
        <v>197</v>
      </c>
      <c r="C51" s="40">
        <f>132.68+216.52</f>
        <v>349.20000000000005</v>
      </c>
      <c r="D51" s="40">
        <v>18.32</v>
      </c>
      <c r="E51" s="40">
        <f t="shared" si="0"/>
        <v>367.52000000000004</v>
      </c>
      <c r="F51" s="40">
        <v>52.06</v>
      </c>
      <c r="G51" s="40">
        <v>16.29</v>
      </c>
      <c r="H51" s="40">
        <v>30.57</v>
      </c>
      <c r="I51" s="40">
        <f t="shared" si="1"/>
        <v>98.91999999999999</v>
      </c>
      <c r="J51" s="40">
        <v>0</v>
      </c>
      <c r="K51" s="40">
        <v>0.75</v>
      </c>
      <c r="L51" s="40">
        <f t="shared" si="2"/>
        <v>99.66999999999999</v>
      </c>
      <c r="M51" s="40">
        <f t="shared" si="3"/>
        <v>267.85</v>
      </c>
      <c r="N51" s="40">
        <v>246.91</v>
      </c>
      <c r="O51" s="40">
        <v>24.27</v>
      </c>
      <c r="P51" s="40">
        <f t="shared" si="4"/>
        <v>271.18</v>
      </c>
      <c r="Q51" s="40">
        <f t="shared" si="5"/>
        <v>-3.329999999999984</v>
      </c>
      <c r="R51" s="40">
        <f t="shared" si="6"/>
        <v>101.24323315288406</v>
      </c>
    </row>
    <row r="52" spans="1:18" ht="14.25">
      <c r="A52" s="72">
        <v>34</v>
      </c>
      <c r="B52" s="79" t="s">
        <v>198</v>
      </c>
      <c r="C52" s="40">
        <v>2595.57</v>
      </c>
      <c r="D52" s="40">
        <v>174.33</v>
      </c>
      <c r="E52" s="40">
        <f t="shared" si="0"/>
        <v>2769.9</v>
      </c>
      <c r="F52" s="40">
        <v>1508.58</v>
      </c>
      <c r="G52" s="40">
        <v>101.38</v>
      </c>
      <c r="H52" s="40">
        <v>96.92</v>
      </c>
      <c r="I52" s="40">
        <f t="shared" si="1"/>
        <v>1706.88</v>
      </c>
      <c r="J52" s="40">
        <v>0</v>
      </c>
      <c r="K52" s="40">
        <v>0</v>
      </c>
      <c r="L52" s="40">
        <f t="shared" si="2"/>
        <v>1706.88</v>
      </c>
      <c r="M52" s="40">
        <f t="shared" si="3"/>
        <v>1063.02</v>
      </c>
      <c r="N52" s="40">
        <v>779.99</v>
      </c>
      <c r="O52" s="40">
        <v>197.84</v>
      </c>
      <c r="P52" s="40">
        <f t="shared" si="4"/>
        <v>977.83</v>
      </c>
      <c r="Q52" s="40">
        <f t="shared" si="5"/>
        <v>85.18999999999994</v>
      </c>
      <c r="R52" s="40">
        <f t="shared" si="6"/>
        <v>91.98603977347557</v>
      </c>
    </row>
    <row r="53" spans="1:18" ht="14.25">
      <c r="A53" s="72">
        <v>35</v>
      </c>
      <c r="B53" s="79" t="s">
        <v>199</v>
      </c>
      <c r="C53" s="40">
        <f>67.68+857.65</f>
        <v>925.3299999999999</v>
      </c>
      <c r="D53" s="40">
        <v>17.23</v>
      </c>
      <c r="E53" s="40">
        <f t="shared" si="0"/>
        <v>942.56</v>
      </c>
      <c r="F53" s="40">
        <v>374.55</v>
      </c>
      <c r="G53" s="40">
        <v>0.44</v>
      </c>
      <c r="H53" s="40">
        <v>27.24</v>
      </c>
      <c r="I53" s="40">
        <f t="shared" si="1"/>
        <v>402.23</v>
      </c>
      <c r="J53" s="40">
        <v>0</v>
      </c>
      <c r="K53" s="40">
        <v>17.9</v>
      </c>
      <c r="L53" s="40">
        <f t="shared" si="2"/>
        <v>420.13</v>
      </c>
      <c r="M53" s="40">
        <f t="shared" si="3"/>
        <v>522.43</v>
      </c>
      <c r="N53" s="40">
        <v>451.3</v>
      </c>
      <c r="O53" s="40">
        <v>18.16</v>
      </c>
      <c r="P53" s="40">
        <f t="shared" si="4"/>
        <v>469.46000000000004</v>
      </c>
      <c r="Q53" s="40">
        <f t="shared" si="5"/>
        <v>52.969999999999914</v>
      </c>
      <c r="R53" s="40">
        <f t="shared" si="6"/>
        <v>89.86084260092262</v>
      </c>
    </row>
    <row r="54" spans="1:18" ht="14.25">
      <c r="A54" s="72">
        <v>36</v>
      </c>
      <c r="B54" s="79" t="s">
        <v>200</v>
      </c>
      <c r="C54" s="40">
        <f>29.63+106.56</f>
        <v>136.19</v>
      </c>
      <c r="D54" s="40">
        <v>20.21</v>
      </c>
      <c r="E54" s="40">
        <f t="shared" si="0"/>
        <v>156.4</v>
      </c>
      <c r="F54" s="40">
        <v>0.03</v>
      </c>
      <c r="G54" s="40">
        <v>2.24</v>
      </c>
      <c r="H54" s="40">
        <v>17.31</v>
      </c>
      <c r="I54" s="40">
        <f t="shared" si="1"/>
        <v>19.58</v>
      </c>
      <c r="J54" s="40">
        <v>0</v>
      </c>
      <c r="K54" s="40">
        <v>6.04</v>
      </c>
      <c r="L54" s="40">
        <f t="shared" si="2"/>
        <v>25.619999999999997</v>
      </c>
      <c r="M54" s="40">
        <f t="shared" si="3"/>
        <v>130.78</v>
      </c>
      <c r="N54" s="40">
        <v>103.44</v>
      </c>
      <c r="O54" s="40">
        <v>21.93</v>
      </c>
      <c r="P54" s="40">
        <f t="shared" si="4"/>
        <v>125.37</v>
      </c>
      <c r="Q54" s="40">
        <f t="shared" si="5"/>
        <v>5.409999999999997</v>
      </c>
      <c r="R54" s="40">
        <f t="shared" si="6"/>
        <v>95.86328184737728</v>
      </c>
    </row>
    <row r="55" spans="1:18" s="63" customFormat="1" ht="15">
      <c r="A55" s="80"/>
      <c r="B55" s="81" t="s">
        <v>35</v>
      </c>
      <c r="C55" s="41">
        <f>SUM(C48:C54)</f>
        <v>4547.87</v>
      </c>
      <c r="D55" s="41">
        <f>SUM(D48:D54)</f>
        <v>372.66</v>
      </c>
      <c r="E55" s="41">
        <f t="shared" si="0"/>
        <v>4920.53</v>
      </c>
      <c r="F55" s="41">
        <f>SUM(F48:F54)</f>
        <v>2012.77</v>
      </c>
      <c r="G55" s="41">
        <f>SUM(G48:G54)</f>
        <v>131.83</v>
      </c>
      <c r="H55" s="41">
        <f>SUM(H48:H54)</f>
        <v>190.43</v>
      </c>
      <c r="I55" s="41">
        <f t="shared" si="1"/>
        <v>2335.0299999999997</v>
      </c>
      <c r="J55" s="41">
        <f>SUM(J48:J54)</f>
        <v>0.14</v>
      </c>
      <c r="K55" s="41">
        <f>SUM(K48:K54)</f>
        <v>32.18</v>
      </c>
      <c r="L55" s="41">
        <f t="shared" si="2"/>
        <v>2367.3499999999995</v>
      </c>
      <c r="M55" s="41">
        <f t="shared" si="3"/>
        <v>2553.1800000000003</v>
      </c>
      <c r="N55" s="41">
        <f>SUM(N48:N54)</f>
        <v>1989.0400000000002</v>
      </c>
      <c r="O55" s="41">
        <f>SUM(O48:O54)</f>
        <v>408.38000000000005</v>
      </c>
      <c r="P55" s="41">
        <f t="shared" si="4"/>
        <v>2397.42</v>
      </c>
      <c r="Q55" s="41">
        <f t="shared" si="5"/>
        <v>155.76000000000022</v>
      </c>
      <c r="R55" s="41">
        <f t="shared" si="6"/>
        <v>93.89937254717645</v>
      </c>
    </row>
    <row r="56" spans="1:18" ht="15">
      <c r="A56" s="72"/>
      <c r="B56" s="82" t="s">
        <v>201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 ht="14.25">
      <c r="A57" s="72">
        <v>37</v>
      </c>
      <c r="B57" s="79" t="s">
        <v>202</v>
      </c>
      <c r="C57" s="40">
        <f>17.5+93.74</f>
        <v>111.24</v>
      </c>
      <c r="D57" s="40">
        <v>23.39</v>
      </c>
      <c r="E57" s="40">
        <f t="shared" si="0"/>
        <v>134.63</v>
      </c>
      <c r="F57" s="40">
        <v>5.92</v>
      </c>
      <c r="G57" s="40">
        <v>5.24</v>
      </c>
      <c r="H57" s="40">
        <v>4.4</v>
      </c>
      <c r="I57" s="40">
        <f t="shared" si="1"/>
        <v>15.56</v>
      </c>
      <c r="J57" s="40">
        <v>0.07</v>
      </c>
      <c r="K57" s="40">
        <v>3.68</v>
      </c>
      <c r="L57" s="40">
        <f t="shared" si="2"/>
        <v>19.310000000000002</v>
      </c>
      <c r="M57" s="40">
        <f t="shared" si="3"/>
        <v>115.32</v>
      </c>
      <c r="N57" s="40">
        <v>89.16</v>
      </c>
      <c r="O57" s="40">
        <v>25.04</v>
      </c>
      <c r="P57" s="40">
        <f t="shared" si="4"/>
        <v>114.19999999999999</v>
      </c>
      <c r="Q57" s="40">
        <f t="shared" si="5"/>
        <v>1.1200000000000045</v>
      </c>
      <c r="R57" s="40">
        <f t="shared" si="6"/>
        <v>99.02878945542837</v>
      </c>
    </row>
    <row r="58" spans="1:18" ht="14.25">
      <c r="A58" s="72">
        <v>38</v>
      </c>
      <c r="B58" s="79" t="s">
        <v>203</v>
      </c>
      <c r="C58" s="40">
        <f>381.33+2214.87</f>
        <v>2596.2</v>
      </c>
      <c r="D58" s="40">
        <v>60.19</v>
      </c>
      <c r="E58" s="40">
        <f t="shared" si="0"/>
        <v>2656.39</v>
      </c>
      <c r="F58" s="40">
        <v>1922.61</v>
      </c>
      <c r="G58" s="40">
        <v>308.28</v>
      </c>
      <c r="H58" s="40">
        <v>21.26</v>
      </c>
      <c r="I58" s="40">
        <f t="shared" si="1"/>
        <v>2252.15</v>
      </c>
      <c r="J58" s="40">
        <v>0.43</v>
      </c>
      <c r="K58" s="40">
        <v>3.22</v>
      </c>
      <c r="L58" s="40">
        <f t="shared" si="2"/>
        <v>2255.7999999999997</v>
      </c>
      <c r="M58" s="40">
        <f t="shared" si="3"/>
        <v>400.59000000000015</v>
      </c>
      <c r="N58" s="40">
        <v>331.95</v>
      </c>
      <c r="O58" s="40">
        <v>63.54</v>
      </c>
      <c r="P58" s="40">
        <f t="shared" si="4"/>
        <v>395.49</v>
      </c>
      <c r="Q58" s="40">
        <f t="shared" si="5"/>
        <v>5.100000000000136</v>
      </c>
      <c r="R58" s="40">
        <f t="shared" si="6"/>
        <v>98.7268778551636</v>
      </c>
    </row>
    <row r="59" spans="1:18" ht="14.25">
      <c r="A59" s="72">
        <v>39</v>
      </c>
      <c r="B59" s="79" t="s">
        <v>204</v>
      </c>
      <c r="C59" s="40">
        <f>257.78+463.52</f>
        <v>721.3</v>
      </c>
      <c r="D59" s="40">
        <v>263.02</v>
      </c>
      <c r="E59" s="40">
        <f t="shared" si="0"/>
        <v>984.3199999999999</v>
      </c>
      <c r="F59" s="40">
        <v>82.9</v>
      </c>
      <c r="G59" s="40">
        <v>135.18</v>
      </c>
      <c r="H59" s="40">
        <v>2.25</v>
      </c>
      <c r="I59" s="40">
        <f t="shared" si="1"/>
        <v>220.33</v>
      </c>
      <c r="J59" s="40">
        <v>4.21</v>
      </c>
      <c r="K59" s="40">
        <v>9.32</v>
      </c>
      <c r="L59" s="40">
        <f t="shared" si="2"/>
        <v>233.86</v>
      </c>
      <c r="M59" s="40">
        <f t="shared" si="3"/>
        <v>750.4599999999999</v>
      </c>
      <c r="N59" s="40">
        <v>486.84</v>
      </c>
      <c r="O59" s="40">
        <v>256.87</v>
      </c>
      <c r="P59" s="40">
        <f t="shared" si="4"/>
        <v>743.71</v>
      </c>
      <c r="Q59" s="40">
        <f t="shared" si="5"/>
        <v>6.749999999999886</v>
      </c>
      <c r="R59" s="40">
        <f t="shared" si="6"/>
        <v>99.10055166164754</v>
      </c>
    </row>
    <row r="60" spans="1:18" ht="14.25">
      <c r="A60" s="72">
        <v>40</v>
      </c>
      <c r="B60" s="79" t="s">
        <v>205</v>
      </c>
      <c r="C60" s="40">
        <f>70.2+255.49</f>
        <v>325.69</v>
      </c>
      <c r="D60" s="40">
        <v>51.54</v>
      </c>
      <c r="E60" s="40">
        <f t="shared" si="0"/>
        <v>377.23</v>
      </c>
      <c r="F60" s="40">
        <v>26.47</v>
      </c>
      <c r="G60" s="40">
        <v>0.46</v>
      </c>
      <c r="H60" s="40">
        <v>32.23</v>
      </c>
      <c r="I60" s="40">
        <f t="shared" si="1"/>
        <v>59.16</v>
      </c>
      <c r="J60" s="40">
        <v>1.04</v>
      </c>
      <c r="K60" s="40">
        <v>0.22</v>
      </c>
      <c r="L60" s="40">
        <f t="shared" si="2"/>
        <v>60.419999999999995</v>
      </c>
      <c r="M60" s="40">
        <f t="shared" si="3"/>
        <v>316.81</v>
      </c>
      <c r="N60" s="40">
        <v>256.61</v>
      </c>
      <c r="O60" s="40">
        <v>56.25</v>
      </c>
      <c r="P60" s="40">
        <f t="shared" si="4"/>
        <v>312.86</v>
      </c>
      <c r="Q60" s="40">
        <f t="shared" si="5"/>
        <v>3.9499999999999886</v>
      </c>
      <c r="R60" s="40">
        <f t="shared" si="6"/>
        <v>98.7531959218459</v>
      </c>
    </row>
    <row r="61" spans="1:18" ht="14.25">
      <c r="A61" s="72">
        <v>41</v>
      </c>
      <c r="B61" s="79" t="s">
        <v>206</v>
      </c>
      <c r="C61" s="40">
        <f>92.34+311.93</f>
        <v>404.27</v>
      </c>
      <c r="D61" s="40">
        <v>80.32</v>
      </c>
      <c r="E61" s="40">
        <f t="shared" si="0"/>
        <v>484.59</v>
      </c>
      <c r="F61" s="40">
        <v>10.25</v>
      </c>
      <c r="G61" s="40">
        <v>69.44</v>
      </c>
      <c r="H61" s="40">
        <v>7.45</v>
      </c>
      <c r="I61" s="40">
        <f t="shared" si="1"/>
        <v>87.14</v>
      </c>
      <c r="J61" s="40">
        <v>0.22</v>
      </c>
      <c r="K61" s="40">
        <v>0</v>
      </c>
      <c r="L61" s="40">
        <f t="shared" si="2"/>
        <v>87.36</v>
      </c>
      <c r="M61" s="40">
        <f t="shared" si="3"/>
        <v>397.22999999999996</v>
      </c>
      <c r="N61" s="40">
        <v>309.15</v>
      </c>
      <c r="O61" s="40">
        <v>86.13</v>
      </c>
      <c r="P61" s="40">
        <f t="shared" si="4"/>
        <v>395.28</v>
      </c>
      <c r="Q61" s="40">
        <f t="shared" si="5"/>
        <v>1.9499999999999886</v>
      </c>
      <c r="R61" s="40">
        <f t="shared" si="6"/>
        <v>99.50910052110868</v>
      </c>
    </row>
    <row r="62" spans="1:18" s="63" customFormat="1" ht="15">
      <c r="A62" s="80"/>
      <c r="B62" s="81" t="s">
        <v>35</v>
      </c>
      <c r="C62" s="41">
        <f>SUM(C57:C61)</f>
        <v>4158.7</v>
      </c>
      <c r="D62" s="41">
        <f>SUM(D57:D61)</f>
        <v>478.46</v>
      </c>
      <c r="E62" s="41">
        <f t="shared" si="0"/>
        <v>4637.16</v>
      </c>
      <c r="F62" s="41">
        <f>SUM(F57:F61)</f>
        <v>2048.15</v>
      </c>
      <c r="G62" s="41">
        <f>SUM(G57:G61)</f>
        <v>518.5999999999999</v>
      </c>
      <c r="H62" s="41">
        <f>SUM(H57:H61)</f>
        <v>67.59</v>
      </c>
      <c r="I62" s="41">
        <f t="shared" si="1"/>
        <v>2634.34</v>
      </c>
      <c r="J62" s="41">
        <f>SUM(J57:J61)</f>
        <v>5.97</v>
      </c>
      <c r="K62" s="41">
        <f>SUM(K57:K61)</f>
        <v>16.439999999999998</v>
      </c>
      <c r="L62" s="41">
        <f t="shared" si="2"/>
        <v>2656.75</v>
      </c>
      <c r="M62" s="41">
        <f t="shared" si="3"/>
        <v>1980.4099999999999</v>
      </c>
      <c r="N62" s="41">
        <f>SUM(N57:N61)</f>
        <v>1473.71</v>
      </c>
      <c r="O62" s="41">
        <f>SUM(O57:O61)</f>
        <v>487.83</v>
      </c>
      <c r="P62" s="41">
        <f t="shared" si="4"/>
        <v>1961.54</v>
      </c>
      <c r="Q62" s="41">
        <f t="shared" si="5"/>
        <v>18.86999999999989</v>
      </c>
      <c r="R62" s="41">
        <f t="shared" si="6"/>
        <v>99.04716700077257</v>
      </c>
    </row>
    <row r="63" spans="1:18" ht="15">
      <c r="A63" s="72"/>
      <c r="B63" s="82" t="s">
        <v>207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</row>
    <row r="64" spans="1:18" ht="14.25">
      <c r="A64" s="72">
        <v>42</v>
      </c>
      <c r="B64" s="79" t="s">
        <v>208</v>
      </c>
      <c r="C64" s="40">
        <f>32.46+137.65</f>
        <v>170.11</v>
      </c>
      <c r="D64" s="40">
        <v>39.65</v>
      </c>
      <c r="E64" s="40">
        <f t="shared" si="0"/>
        <v>209.76000000000002</v>
      </c>
      <c r="F64" s="40">
        <v>15.15</v>
      </c>
      <c r="G64" s="40">
        <v>0.17</v>
      </c>
      <c r="H64" s="40">
        <v>0.12</v>
      </c>
      <c r="I64" s="40">
        <f t="shared" si="1"/>
        <v>15.44</v>
      </c>
      <c r="J64" s="40">
        <v>0</v>
      </c>
      <c r="K64" s="40">
        <v>11.32</v>
      </c>
      <c r="L64" s="40">
        <f t="shared" si="2"/>
        <v>26.759999999999998</v>
      </c>
      <c r="M64" s="40">
        <f t="shared" si="3"/>
        <v>183.00000000000003</v>
      </c>
      <c r="N64" s="40">
        <v>126.8</v>
      </c>
      <c r="O64" s="40">
        <v>49.48</v>
      </c>
      <c r="P64" s="40">
        <f t="shared" si="4"/>
        <v>176.28</v>
      </c>
      <c r="Q64" s="40">
        <f t="shared" si="5"/>
        <v>6.720000000000027</v>
      </c>
      <c r="R64" s="40">
        <f t="shared" si="6"/>
        <v>96.32786885245899</v>
      </c>
    </row>
    <row r="65" spans="1:18" ht="14.25">
      <c r="A65" s="72">
        <v>43</v>
      </c>
      <c r="B65" s="79" t="s">
        <v>209</v>
      </c>
      <c r="C65" s="40">
        <f>4.26+96.3</f>
        <v>100.56</v>
      </c>
      <c r="D65" s="40">
        <v>11.44</v>
      </c>
      <c r="E65" s="40">
        <f t="shared" si="0"/>
        <v>112</v>
      </c>
      <c r="F65" s="40">
        <v>3.58</v>
      </c>
      <c r="G65" s="40">
        <v>0.5</v>
      </c>
      <c r="H65" s="40">
        <v>0</v>
      </c>
      <c r="I65" s="40">
        <f t="shared" si="1"/>
        <v>4.08</v>
      </c>
      <c r="J65" s="40">
        <v>0</v>
      </c>
      <c r="K65" s="40">
        <v>0</v>
      </c>
      <c r="L65" s="40">
        <f t="shared" si="2"/>
        <v>4.08</v>
      </c>
      <c r="M65" s="40">
        <f t="shared" si="3"/>
        <v>107.92</v>
      </c>
      <c r="N65" s="40">
        <v>97.24</v>
      </c>
      <c r="O65" s="40">
        <v>15.53</v>
      </c>
      <c r="P65" s="40">
        <f t="shared" si="4"/>
        <v>112.77</v>
      </c>
      <c r="Q65" s="40">
        <f t="shared" si="5"/>
        <v>-4.849999999999994</v>
      </c>
      <c r="R65" s="40">
        <f t="shared" si="6"/>
        <v>104.49406968124538</v>
      </c>
    </row>
    <row r="66" spans="1:18" ht="14.25">
      <c r="A66" s="72">
        <v>44</v>
      </c>
      <c r="B66" s="79" t="s">
        <v>210</v>
      </c>
      <c r="C66" s="40">
        <f>54.63+153.4</f>
        <v>208.03</v>
      </c>
      <c r="D66" s="40">
        <v>26.12</v>
      </c>
      <c r="E66" s="40">
        <f t="shared" si="0"/>
        <v>234.15</v>
      </c>
      <c r="F66" s="40">
        <v>21.54</v>
      </c>
      <c r="G66" s="40">
        <v>14.2</v>
      </c>
      <c r="H66" s="40">
        <v>3.26</v>
      </c>
      <c r="I66" s="40">
        <f t="shared" si="1"/>
        <v>38.99999999999999</v>
      </c>
      <c r="J66" s="40">
        <v>4.91</v>
      </c>
      <c r="K66" s="40">
        <v>11.79</v>
      </c>
      <c r="L66" s="40">
        <f t="shared" si="2"/>
        <v>55.699999999999996</v>
      </c>
      <c r="M66" s="40">
        <f t="shared" si="3"/>
        <v>178.45000000000002</v>
      </c>
      <c r="N66" s="40">
        <v>137.21</v>
      </c>
      <c r="O66" s="40">
        <v>36.46</v>
      </c>
      <c r="P66" s="40">
        <f t="shared" si="4"/>
        <v>173.67000000000002</v>
      </c>
      <c r="Q66" s="40">
        <f t="shared" si="5"/>
        <v>4.780000000000001</v>
      </c>
      <c r="R66" s="40">
        <f t="shared" si="6"/>
        <v>97.32137853740544</v>
      </c>
    </row>
    <row r="67" spans="1:18" ht="14.25">
      <c r="A67" s="72">
        <v>45</v>
      </c>
      <c r="B67" s="79" t="s">
        <v>211</v>
      </c>
      <c r="C67" s="40">
        <f>15.16+238.69</f>
        <v>253.85</v>
      </c>
      <c r="D67" s="40">
        <v>36.78</v>
      </c>
      <c r="E67" s="40">
        <f t="shared" si="0"/>
        <v>290.63</v>
      </c>
      <c r="F67" s="40">
        <v>1.88</v>
      </c>
      <c r="G67" s="40">
        <v>0</v>
      </c>
      <c r="H67" s="40">
        <v>0.8</v>
      </c>
      <c r="I67" s="40">
        <f t="shared" si="1"/>
        <v>2.6799999999999997</v>
      </c>
      <c r="J67" s="40">
        <v>3.81</v>
      </c>
      <c r="K67" s="40">
        <v>0</v>
      </c>
      <c r="L67" s="40">
        <f t="shared" si="2"/>
        <v>6.49</v>
      </c>
      <c r="M67" s="40">
        <f t="shared" si="3"/>
        <v>284.14</v>
      </c>
      <c r="N67" s="40">
        <v>244.49</v>
      </c>
      <c r="O67" s="40">
        <v>51.26</v>
      </c>
      <c r="P67" s="40">
        <f t="shared" si="4"/>
        <v>295.75</v>
      </c>
      <c r="Q67" s="40">
        <f t="shared" si="5"/>
        <v>-11.610000000000014</v>
      </c>
      <c r="R67" s="40">
        <f t="shared" si="6"/>
        <v>104.08601393679173</v>
      </c>
    </row>
    <row r="68" spans="1:18" ht="14.25">
      <c r="A68" s="72">
        <v>46</v>
      </c>
      <c r="B68" s="79" t="s">
        <v>212</v>
      </c>
      <c r="C68" s="40">
        <f>16.1+84.79</f>
        <v>100.89000000000001</v>
      </c>
      <c r="D68" s="40">
        <v>14.44</v>
      </c>
      <c r="E68" s="40">
        <f t="shared" si="0"/>
        <v>115.33000000000001</v>
      </c>
      <c r="F68" s="40">
        <v>4.04</v>
      </c>
      <c r="G68" s="40">
        <v>8.85</v>
      </c>
      <c r="H68" s="40">
        <v>0.99</v>
      </c>
      <c r="I68" s="40">
        <f t="shared" si="1"/>
        <v>13.88</v>
      </c>
      <c r="J68" s="40">
        <v>0</v>
      </c>
      <c r="K68" s="40">
        <v>0.48</v>
      </c>
      <c r="L68" s="40">
        <f t="shared" si="2"/>
        <v>14.360000000000001</v>
      </c>
      <c r="M68" s="40">
        <f t="shared" si="3"/>
        <v>100.97000000000001</v>
      </c>
      <c r="N68" s="40">
        <v>92.37</v>
      </c>
      <c r="O68" s="40">
        <v>18.52</v>
      </c>
      <c r="P68" s="40">
        <f t="shared" si="4"/>
        <v>110.89</v>
      </c>
      <c r="Q68" s="40">
        <f t="shared" si="5"/>
        <v>-9.919999999999987</v>
      </c>
      <c r="R68" s="40">
        <f t="shared" si="6"/>
        <v>109.82470040606118</v>
      </c>
    </row>
    <row r="69" spans="1:18" s="63" customFormat="1" ht="15">
      <c r="A69" s="80"/>
      <c r="B69" s="81" t="s">
        <v>35</v>
      </c>
      <c r="C69" s="41">
        <f>SUM(C64:C68)</f>
        <v>833.44</v>
      </c>
      <c r="D69" s="41">
        <f>SUM(D64:D68)</f>
        <v>128.43</v>
      </c>
      <c r="E69" s="41">
        <f t="shared" si="0"/>
        <v>961.8700000000001</v>
      </c>
      <c r="F69" s="41">
        <f>SUM(F64:F68)</f>
        <v>46.19</v>
      </c>
      <c r="G69" s="41">
        <f>SUM(G64:G68)</f>
        <v>23.72</v>
      </c>
      <c r="H69" s="41">
        <f>SUM(H64:H68)</f>
        <v>5.17</v>
      </c>
      <c r="I69" s="41">
        <f t="shared" si="1"/>
        <v>75.08</v>
      </c>
      <c r="J69" s="41">
        <f>SUM(J64:J68)</f>
        <v>8.72</v>
      </c>
      <c r="K69" s="41">
        <f>SUM(K64:K68)</f>
        <v>23.59</v>
      </c>
      <c r="L69" s="41">
        <f t="shared" si="2"/>
        <v>107.39</v>
      </c>
      <c r="M69" s="41">
        <f t="shared" si="3"/>
        <v>854.4800000000001</v>
      </c>
      <c r="N69" s="41">
        <f>SUM(N64:N68)</f>
        <v>698.11</v>
      </c>
      <c r="O69" s="41">
        <f>SUM(O64:O68)</f>
        <v>171.25</v>
      </c>
      <c r="P69" s="41">
        <f t="shared" si="4"/>
        <v>869.36</v>
      </c>
      <c r="Q69" s="41">
        <f t="shared" si="5"/>
        <v>-14.879999999999882</v>
      </c>
      <c r="R69" s="41">
        <f t="shared" si="6"/>
        <v>101.74140998033891</v>
      </c>
    </row>
    <row r="70" spans="1:18" ht="15">
      <c r="A70" s="72"/>
      <c r="B70" s="82" t="s">
        <v>213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  <row r="71" spans="1:18" ht="14.25">
      <c r="A71" s="72">
        <v>47</v>
      </c>
      <c r="B71" s="79" t="s">
        <v>214</v>
      </c>
      <c r="C71" s="40">
        <f>13.14+192.2</f>
        <v>205.33999999999997</v>
      </c>
      <c r="D71" s="40">
        <v>63.9</v>
      </c>
      <c r="E71" s="40">
        <f t="shared" si="0"/>
        <v>269.23999999999995</v>
      </c>
      <c r="F71" s="40">
        <v>16.23</v>
      </c>
      <c r="G71" s="40">
        <v>6.79</v>
      </c>
      <c r="H71" s="40">
        <v>7.19</v>
      </c>
      <c r="I71" s="40">
        <f t="shared" si="1"/>
        <v>30.21</v>
      </c>
      <c r="J71" s="40">
        <v>0</v>
      </c>
      <c r="K71" s="40">
        <v>14.91</v>
      </c>
      <c r="L71" s="40">
        <f t="shared" si="2"/>
        <v>45.120000000000005</v>
      </c>
      <c r="M71" s="40">
        <f t="shared" si="3"/>
        <v>224.11999999999995</v>
      </c>
      <c r="N71" s="40">
        <v>154.1</v>
      </c>
      <c r="O71" s="40">
        <v>76.34</v>
      </c>
      <c r="P71" s="40">
        <f t="shared" si="4"/>
        <v>230.44</v>
      </c>
      <c r="Q71" s="40">
        <f t="shared" si="5"/>
        <v>-6.32000000000005</v>
      </c>
      <c r="R71" s="40">
        <f t="shared" si="6"/>
        <v>102.81991790112441</v>
      </c>
    </row>
    <row r="72" spans="1:18" ht="14.25">
      <c r="A72" s="72">
        <v>48</v>
      </c>
      <c r="B72" s="79" t="s">
        <v>215</v>
      </c>
      <c r="C72" s="40">
        <f>18.04+376.46</f>
        <v>394.5</v>
      </c>
      <c r="D72" s="40">
        <v>52.09</v>
      </c>
      <c r="E72" s="40">
        <f aca="true" t="shared" si="7" ref="E72:E96">C72+D72</f>
        <v>446.59000000000003</v>
      </c>
      <c r="F72" s="40">
        <v>7.73</v>
      </c>
      <c r="G72" s="40">
        <v>0.44</v>
      </c>
      <c r="H72" s="40">
        <v>12.09</v>
      </c>
      <c r="I72" s="40">
        <f aca="true" t="shared" si="8" ref="I72:I96">F72+G72+H72</f>
        <v>20.259999999999998</v>
      </c>
      <c r="J72" s="40">
        <v>0</v>
      </c>
      <c r="K72" s="40">
        <v>10.11</v>
      </c>
      <c r="L72" s="40">
        <f aca="true" t="shared" si="9" ref="L72:L96">I72+J72+K72</f>
        <v>30.369999999999997</v>
      </c>
      <c r="M72" s="40">
        <f aca="true" t="shared" si="10" ref="M72:M96">E72-L72</f>
        <v>416.22</v>
      </c>
      <c r="N72" s="40">
        <v>376.25</v>
      </c>
      <c r="O72" s="40">
        <v>48.2</v>
      </c>
      <c r="P72" s="40">
        <f aca="true" t="shared" si="11" ref="P72:P96">N72+O72</f>
        <v>424.45</v>
      </c>
      <c r="Q72" s="40">
        <f aca="true" t="shared" si="12" ref="Q72:Q96">M72-P72</f>
        <v>-8.229999999999961</v>
      </c>
      <c r="R72" s="40">
        <f aca="true" t="shared" si="13" ref="R72:R96">P72/M72*100</f>
        <v>101.97731968670413</v>
      </c>
    </row>
    <row r="73" spans="1:18" ht="14.25">
      <c r="A73" s="72">
        <v>49</v>
      </c>
      <c r="B73" s="79" t="s">
        <v>216</v>
      </c>
      <c r="C73" s="40">
        <f>7.98+206.87</f>
        <v>214.85</v>
      </c>
      <c r="D73" s="40">
        <v>86.03</v>
      </c>
      <c r="E73" s="40">
        <f t="shared" si="7"/>
        <v>300.88</v>
      </c>
      <c r="F73" s="40">
        <v>0.25</v>
      </c>
      <c r="G73" s="40">
        <v>7.59</v>
      </c>
      <c r="H73" s="40">
        <v>4.05</v>
      </c>
      <c r="I73" s="40">
        <f t="shared" si="8"/>
        <v>11.89</v>
      </c>
      <c r="J73" s="40">
        <v>0</v>
      </c>
      <c r="K73" s="40">
        <v>0.04</v>
      </c>
      <c r="L73" s="40">
        <f t="shared" si="9"/>
        <v>11.93</v>
      </c>
      <c r="M73" s="40">
        <f t="shared" si="10"/>
        <v>288.95</v>
      </c>
      <c r="N73" s="40">
        <v>203.04</v>
      </c>
      <c r="O73" s="40">
        <v>89.11</v>
      </c>
      <c r="P73" s="40">
        <f t="shared" si="11"/>
        <v>292.15</v>
      </c>
      <c r="Q73" s="40">
        <f t="shared" si="12"/>
        <v>-3.1999999999999886</v>
      </c>
      <c r="R73" s="40">
        <f t="shared" si="13"/>
        <v>101.10745803772278</v>
      </c>
    </row>
    <row r="74" spans="1:18" ht="14.25">
      <c r="A74" s="72">
        <v>50</v>
      </c>
      <c r="B74" s="79" t="s">
        <v>217</v>
      </c>
      <c r="C74" s="40">
        <f>22+231.33</f>
        <v>253.33</v>
      </c>
      <c r="D74" s="40">
        <v>51.59</v>
      </c>
      <c r="E74" s="40">
        <f t="shared" si="7"/>
        <v>304.92</v>
      </c>
      <c r="F74" s="40">
        <v>32.72</v>
      </c>
      <c r="G74" s="40">
        <v>0</v>
      </c>
      <c r="H74" s="40">
        <v>7.25</v>
      </c>
      <c r="I74" s="40">
        <f t="shared" si="8"/>
        <v>39.97</v>
      </c>
      <c r="J74" s="40">
        <v>0.43</v>
      </c>
      <c r="K74" s="40">
        <v>0.07</v>
      </c>
      <c r="L74" s="40">
        <f t="shared" si="9"/>
        <v>40.47</v>
      </c>
      <c r="M74" s="40">
        <f t="shared" si="10"/>
        <v>264.45000000000005</v>
      </c>
      <c r="N74" s="40">
        <v>219.64</v>
      </c>
      <c r="O74" s="40">
        <v>56.33</v>
      </c>
      <c r="P74" s="40">
        <f t="shared" si="11"/>
        <v>275.96999999999997</v>
      </c>
      <c r="Q74" s="40">
        <f t="shared" si="12"/>
        <v>-11.519999999999925</v>
      </c>
      <c r="R74" s="40">
        <f t="shared" si="13"/>
        <v>104.35621100397047</v>
      </c>
    </row>
    <row r="75" spans="1:18" ht="14.25">
      <c r="A75" s="72">
        <v>51</v>
      </c>
      <c r="B75" s="79" t="s">
        <v>218</v>
      </c>
      <c r="C75" s="40">
        <f>16.79+539.25</f>
        <v>556.04</v>
      </c>
      <c r="D75" s="40">
        <v>171.09</v>
      </c>
      <c r="E75" s="40">
        <f t="shared" si="7"/>
        <v>727.13</v>
      </c>
      <c r="F75" s="40">
        <v>0</v>
      </c>
      <c r="G75" s="40">
        <v>3.25</v>
      </c>
      <c r="H75" s="40">
        <v>8.12</v>
      </c>
      <c r="I75" s="40">
        <f t="shared" si="8"/>
        <v>11.37</v>
      </c>
      <c r="J75" s="40">
        <v>0</v>
      </c>
      <c r="K75" s="40">
        <v>8.25</v>
      </c>
      <c r="L75" s="40">
        <f t="shared" si="9"/>
        <v>19.619999999999997</v>
      </c>
      <c r="M75" s="40">
        <f t="shared" si="10"/>
        <v>707.51</v>
      </c>
      <c r="N75" s="40">
        <v>552.91</v>
      </c>
      <c r="O75" s="40">
        <v>171.72</v>
      </c>
      <c r="P75" s="40">
        <f t="shared" si="11"/>
        <v>724.63</v>
      </c>
      <c r="Q75" s="40">
        <f t="shared" si="12"/>
        <v>-17.120000000000005</v>
      </c>
      <c r="R75" s="40">
        <f t="shared" si="13"/>
        <v>102.41975378439881</v>
      </c>
    </row>
    <row r="76" spans="1:18" ht="14.25">
      <c r="A76" s="72">
        <v>52</v>
      </c>
      <c r="B76" s="79" t="s">
        <v>219</v>
      </c>
      <c r="C76" s="40">
        <f>11.53+186.56</f>
        <v>198.09</v>
      </c>
      <c r="D76" s="40">
        <v>54.53</v>
      </c>
      <c r="E76" s="40">
        <f t="shared" si="7"/>
        <v>252.62</v>
      </c>
      <c r="F76" s="40">
        <v>5.95</v>
      </c>
      <c r="G76" s="40">
        <v>0.57</v>
      </c>
      <c r="H76" s="40">
        <v>2.48</v>
      </c>
      <c r="I76" s="40">
        <f t="shared" si="8"/>
        <v>9</v>
      </c>
      <c r="J76" s="40">
        <v>2.23</v>
      </c>
      <c r="K76" s="40">
        <v>5.6</v>
      </c>
      <c r="L76" s="40">
        <f t="shared" si="9"/>
        <v>16.83</v>
      </c>
      <c r="M76" s="40">
        <f t="shared" si="10"/>
        <v>235.79000000000002</v>
      </c>
      <c r="N76" s="40">
        <v>193.02</v>
      </c>
      <c r="O76" s="40">
        <v>59.17</v>
      </c>
      <c r="P76" s="40">
        <f t="shared" si="11"/>
        <v>252.19</v>
      </c>
      <c r="Q76" s="40">
        <f t="shared" si="12"/>
        <v>-16.399999999999977</v>
      </c>
      <c r="R76" s="40">
        <f t="shared" si="13"/>
        <v>106.95534161754101</v>
      </c>
    </row>
    <row r="77" spans="1:18" s="63" customFormat="1" ht="15">
      <c r="A77" s="80"/>
      <c r="B77" s="81" t="s">
        <v>35</v>
      </c>
      <c r="C77" s="41">
        <f>SUM(C71:C76)</f>
        <v>1822.1499999999999</v>
      </c>
      <c r="D77" s="41">
        <f>SUM(D71:D76)</f>
        <v>479.23</v>
      </c>
      <c r="E77" s="41">
        <f t="shared" si="7"/>
        <v>2301.38</v>
      </c>
      <c r="F77" s="41">
        <f>SUM(F71:F76)</f>
        <v>62.88</v>
      </c>
      <c r="G77" s="41">
        <f>SUM(G71:G76)</f>
        <v>18.64</v>
      </c>
      <c r="H77" s="41">
        <f>SUM(H71:H76)</f>
        <v>41.18</v>
      </c>
      <c r="I77" s="41">
        <f t="shared" si="8"/>
        <v>122.70000000000002</v>
      </c>
      <c r="J77" s="41">
        <f>SUM(J71:J76)</f>
        <v>2.66</v>
      </c>
      <c r="K77" s="41">
        <f>SUM(K71:K76)</f>
        <v>38.98</v>
      </c>
      <c r="L77" s="41">
        <f t="shared" si="9"/>
        <v>164.34</v>
      </c>
      <c r="M77" s="41">
        <f t="shared" si="10"/>
        <v>2137.04</v>
      </c>
      <c r="N77" s="41">
        <f>SUM(N71:N76)</f>
        <v>1698.96</v>
      </c>
      <c r="O77" s="41">
        <f>SUM(O71:O76)</f>
        <v>500.87000000000006</v>
      </c>
      <c r="P77" s="41">
        <f t="shared" si="11"/>
        <v>2199.83</v>
      </c>
      <c r="Q77" s="41">
        <f t="shared" si="12"/>
        <v>-62.789999999999964</v>
      </c>
      <c r="R77" s="41">
        <f t="shared" si="13"/>
        <v>102.93817616890652</v>
      </c>
    </row>
    <row r="78" spans="1:18" ht="15">
      <c r="A78" s="72"/>
      <c r="B78" s="82" t="s">
        <v>220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</row>
    <row r="79" spans="1:18" ht="14.25">
      <c r="A79" s="72">
        <v>53</v>
      </c>
      <c r="B79" s="79" t="s">
        <v>221</v>
      </c>
      <c r="C79" s="40">
        <f>102.04+728.39</f>
        <v>830.43</v>
      </c>
      <c r="D79" s="40">
        <v>122.14</v>
      </c>
      <c r="E79" s="40">
        <f t="shared" si="7"/>
        <v>952.5699999999999</v>
      </c>
      <c r="F79" s="40">
        <v>21.4</v>
      </c>
      <c r="G79" s="40">
        <v>27.11</v>
      </c>
      <c r="H79" s="40">
        <v>277.64</v>
      </c>
      <c r="I79" s="40">
        <f t="shared" si="8"/>
        <v>326.15</v>
      </c>
      <c r="J79" s="40">
        <v>8.54</v>
      </c>
      <c r="K79" s="40">
        <v>0</v>
      </c>
      <c r="L79" s="40">
        <f t="shared" si="9"/>
        <v>334.69</v>
      </c>
      <c r="M79" s="40">
        <f t="shared" si="10"/>
        <v>617.8799999999999</v>
      </c>
      <c r="N79" s="40">
        <v>437.93</v>
      </c>
      <c r="O79" s="40">
        <v>172.39</v>
      </c>
      <c r="P79" s="40">
        <f t="shared" si="11"/>
        <v>610.3199999999999</v>
      </c>
      <c r="Q79" s="40">
        <f t="shared" si="12"/>
        <v>7.559999999999945</v>
      </c>
      <c r="R79" s="40">
        <f t="shared" si="13"/>
        <v>98.77646144882503</v>
      </c>
    </row>
    <row r="80" spans="1:18" ht="14.25">
      <c r="A80" s="72">
        <v>54</v>
      </c>
      <c r="B80" s="79" t="s">
        <v>222</v>
      </c>
      <c r="C80" s="40">
        <f>56.65+197.46</f>
        <v>254.11</v>
      </c>
      <c r="D80" s="40">
        <v>43.24</v>
      </c>
      <c r="E80" s="40">
        <f t="shared" si="7"/>
        <v>297.35</v>
      </c>
      <c r="F80" s="40">
        <v>0</v>
      </c>
      <c r="G80" s="40">
        <v>23.82</v>
      </c>
      <c r="H80" s="40">
        <v>0.26</v>
      </c>
      <c r="I80" s="40">
        <f t="shared" si="8"/>
        <v>24.080000000000002</v>
      </c>
      <c r="J80" s="40">
        <v>10.47</v>
      </c>
      <c r="K80" s="40">
        <v>7.26</v>
      </c>
      <c r="L80" s="40">
        <f t="shared" si="9"/>
        <v>41.81</v>
      </c>
      <c r="M80" s="40">
        <f t="shared" si="10"/>
        <v>255.54000000000002</v>
      </c>
      <c r="N80" s="40">
        <v>192.73</v>
      </c>
      <c r="O80" s="40">
        <v>58.31</v>
      </c>
      <c r="P80" s="40">
        <f t="shared" si="11"/>
        <v>251.04</v>
      </c>
      <c r="Q80" s="40">
        <f t="shared" si="12"/>
        <v>4.500000000000028</v>
      </c>
      <c r="R80" s="40">
        <f t="shared" si="13"/>
        <v>98.23902324489315</v>
      </c>
    </row>
    <row r="81" spans="1:18" ht="14.25">
      <c r="A81" s="72">
        <v>55</v>
      </c>
      <c r="B81" s="79" t="s">
        <v>223</v>
      </c>
      <c r="C81" s="40">
        <f>46.69+188.69</f>
        <v>235.38</v>
      </c>
      <c r="D81" s="40">
        <v>48.64</v>
      </c>
      <c r="E81" s="40">
        <f t="shared" si="7"/>
        <v>284.02</v>
      </c>
      <c r="F81" s="40">
        <v>14.17</v>
      </c>
      <c r="G81" s="40">
        <v>0</v>
      </c>
      <c r="H81" s="40">
        <v>0.09</v>
      </c>
      <c r="I81" s="40">
        <f t="shared" si="8"/>
        <v>14.26</v>
      </c>
      <c r="J81" s="40">
        <v>3.35</v>
      </c>
      <c r="K81" s="40">
        <v>26.84</v>
      </c>
      <c r="L81" s="40">
        <f t="shared" si="9"/>
        <v>44.45</v>
      </c>
      <c r="M81" s="40">
        <f t="shared" si="10"/>
        <v>239.57</v>
      </c>
      <c r="N81" s="40">
        <v>186.88</v>
      </c>
      <c r="O81" s="40">
        <v>56.58</v>
      </c>
      <c r="P81" s="40">
        <f t="shared" si="11"/>
        <v>243.45999999999998</v>
      </c>
      <c r="Q81" s="40">
        <f t="shared" si="12"/>
        <v>-3.8899999999999864</v>
      </c>
      <c r="R81" s="40">
        <f t="shared" si="13"/>
        <v>101.6237425387152</v>
      </c>
    </row>
    <row r="82" spans="1:18" s="63" customFormat="1" ht="15">
      <c r="A82" s="80"/>
      <c r="B82" s="81" t="s">
        <v>35</v>
      </c>
      <c r="C82" s="41">
        <f>SUM(C79:C81)</f>
        <v>1319.92</v>
      </c>
      <c r="D82" s="41">
        <f>SUM(D79:D81)</f>
        <v>214.01999999999998</v>
      </c>
      <c r="E82" s="41">
        <f t="shared" si="7"/>
        <v>1533.94</v>
      </c>
      <c r="F82" s="41">
        <f>SUM(F79:F81)</f>
        <v>35.57</v>
      </c>
      <c r="G82" s="41">
        <f>SUM(G79:G81)</f>
        <v>50.93</v>
      </c>
      <c r="H82" s="41">
        <f>SUM(H79:H81)</f>
        <v>277.98999999999995</v>
      </c>
      <c r="I82" s="41">
        <f t="shared" si="8"/>
        <v>364.48999999999995</v>
      </c>
      <c r="J82" s="41">
        <f>SUM(J79:J81)</f>
        <v>22.36</v>
      </c>
      <c r="K82" s="41">
        <f>SUM(K79:K81)</f>
        <v>34.1</v>
      </c>
      <c r="L82" s="41">
        <f t="shared" si="9"/>
        <v>420.95</v>
      </c>
      <c r="M82" s="41">
        <f t="shared" si="10"/>
        <v>1112.99</v>
      </c>
      <c r="N82" s="41">
        <f>SUM(N79:N81)</f>
        <v>817.54</v>
      </c>
      <c r="O82" s="41">
        <f>SUM(O79:O81)</f>
        <v>287.28</v>
      </c>
      <c r="P82" s="41">
        <f t="shared" si="11"/>
        <v>1104.82</v>
      </c>
      <c r="Q82" s="41">
        <f t="shared" si="12"/>
        <v>8.170000000000073</v>
      </c>
      <c r="R82" s="41">
        <f t="shared" si="13"/>
        <v>99.26594129327306</v>
      </c>
    </row>
    <row r="83" spans="1:18" ht="15">
      <c r="A83" s="72"/>
      <c r="B83" s="82" t="s">
        <v>224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</row>
    <row r="84" spans="1:18" ht="14.25">
      <c r="A84" s="72">
        <v>56</v>
      </c>
      <c r="B84" s="79" t="s">
        <v>225</v>
      </c>
      <c r="C84" s="40">
        <f>19.13+112.31</f>
        <v>131.44</v>
      </c>
      <c r="D84" s="40">
        <v>14.57</v>
      </c>
      <c r="E84" s="40">
        <f t="shared" si="7"/>
        <v>146.01</v>
      </c>
      <c r="F84" s="40">
        <v>1.26</v>
      </c>
      <c r="G84" s="40">
        <v>2.01</v>
      </c>
      <c r="H84" s="40">
        <v>4.66</v>
      </c>
      <c r="I84" s="40">
        <f t="shared" si="8"/>
        <v>7.93</v>
      </c>
      <c r="J84" s="40">
        <v>0</v>
      </c>
      <c r="K84" s="40">
        <v>18.15</v>
      </c>
      <c r="L84" s="40">
        <f t="shared" si="9"/>
        <v>26.08</v>
      </c>
      <c r="M84" s="40">
        <f t="shared" si="10"/>
        <v>119.92999999999999</v>
      </c>
      <c r="N84" s="40">
        <v>110.29</v>
      </c>
      <c r="O84" s="40">
        <v>18.07</v>
      </c>
      <c r="P84" s="40">
        <f t="shared" si="11"/>
        <v>128.36</v>
      </c>
      <c r="Q84" s="40">
        <f t="shared" si="12"/>
        <v>-8.430000000000021</v>
      </c>
      <c r="R84" s="40">
        <f t="shared" si="13"/>
        <v>107.0291003085133</v>
      </c>
    </row>
    <row r="85" spans="1:18" ht="14.25">
      <c r="A85" s="72">
        <v>57</v>
      </c>
      <c r="B85" s="79" t="s">
        <v>226</v>
      </c>
      <c r="C85" s="40">
        <f>88.34+84.97</f>
        <v>173.31</v>
      </c>
      <c r="D85" s="40">
        <v>31.06</v>
      </c>
      <c r="E85" s="40">
        <f t="shared" si="7"/>
        <v>204.37</v>
      </c>
      <c r="F85" s="40">
        <v>0</v>
      </c>
      <c r="G85" s="40">
        <v>33.69</v>
      </c>
      <c r="H85" s="40">
        <v>0.04</v>
      </c>
      <c r="I85" s="40">
        <f t="shared" si="8"/>
        <v>33.73</v>
      </c>
      <c r="J85" s="40">
        <v>0.85</v>
      </c>
      <c r="K85" s="40">
        <v>60.86</v>
      </c>
      <c r="L85" s="40">
        <f t="shared" si="9"/>
        <v>95.44</v>
      </c>
      <c r="M85" s="40">
        <f t="shared" si="10"/>
        <v>108.93</v>
      </c>
      <c r="N85" s="40">
        <v>82.16</v>
      </c>
      <c r="O85" s="40">
        <v>30.89</v>
      </c>
      <c r="P85" s="40">
        <f t="shared" si="11"/>
        <v>113.05</v>
      </c>
      <c r="Q85" s="40">
        <f t="shared" si="12"/>
        <v>-4.11999999999999</v>
      </c>
      <c r="R85" s="40">
        <f t="shared" si="13"/>
        <v>103.78224547874781</v>
      </c>
    </row>
    <row r="86" spans="1:18" ht="14.25">
      <c r="A86" s="72">
        <v>58</v>
      </c>
      <c r="B86" s="79" t="s">
        <v>227</v>
      </c>
      <c r="C86" s="40">
        <f>46.06+120.47</f>
        <v>166.53</v>
      </c>
      <c r="D86" s="40">
        <v>15.04</v>
      </c>
      <c r="E86" s="40">
        <f t="shared" si="7"/>
        <v>181.57</v>
      </c>
      <c r="F86" s="40">
        <v>2.85</v>
      </c>
      <c r="G86" s="40">
        <v>23.95</v>
      </c>
      <c r="H86" s="40">
        <v>0.53</v>
      </c>
      <c r="I86" s="40">
        <f t="shared" si="8"/>
        <v>27.330000000000002</v>
      </c>
      <c r="J86" s="40">
        <v>0</v>
      </c>
      <c r="K86" s="40">
        <v>56.94</v>
      </c>
      <c r="L86" s="40">
        <f t="shared" si="9"/>
        <v>84.27</v>
      </c>
      <c r="M86" s="40">
        <f t="shared" si="10"/>
        <v>97.3</v>
      </c>
      <c r="N86" s="40">
        <v>89.9</v>
      </c>
      <c r="O86" s="40">
        <v>13.6</v>
      </c>
      <c r="P86" s="40">
        <f t="shared" si="11"/>
        <v>103.5</v>
      </c>
      <c r="Q86" s="40">
        <f t="shared" si="12"/>
        <v>-6.200000000000003</v>
      </c>
      <c r="R86" s="40">
        <f t="shared" si="13"/>
        <v>106.37204522096609</v>
      </c>
    </row>
    <row r="87" spans="1:18" s="63" customFormat="1" ht="15">
      <c r="A87" s="80"/>
      <c r="B87" s="81" t="s">
        <v>35</v>
      </c>
      <c r="C87" s="41">
        <f>SUM(C84:C86)</f>
        <v>471.28</v>
      </c>
      <c r="D87" s="41">
        <f>SUM(D84:D86)</f>
        <v>60.669999999999995</v>
      </c>
      <c r="E87" s="41">
        <f t="shared" si="7"/>
        <v>531.9499999999999</v>
      </c>
      <c r="F87" s="41">
        <f>SUM(F84:F86)</f>
        <v>4.11</v>
      </c>
      <c r="G87" s="41">
        <f>SUM(G84:G86)</f>
        <v>59.64999999999999</v>
      </c>
      <c r="H87" s="41">
        <f>SUM(H84:H86)</f>
        <v>5.23</v>
      </c>
      <c r="I87" s="41">
        <f t="shared" si="8"/>
        <v>68.99</v>
      </c>
      <c r="J87" s="41">
        <f>SUM(J84:J86)</f>
        <v>0.85</v>
      </c>
      <c r="K87" s="41">
        <f>SUM(K84:K86)</f>
        <v>135.95</v>
      </c>
      <c r="L87" s="41">
        <f t="shared" si="9"/>
        <v>205.78999999999996</v>
      </c>
      <c r="M87" s="41">
        <f t="shared" si="10"/>
        <v>326.15999999999997</v>
      </c>
      <c r="N87" s="41">
        <f>SUM(N84:N86)</f>
        <v>282.35</v>
      </c>
      <c r="O87" s="41">
        <f>SUM(O84:O86)</f>
        <v>62.56</v>
      </c>
      <c r="P87" s="41">
        <f t="shared" si="11"/>
        <v>344.91</v>
      </c>
      <c r="Q87" s="41">
        <f t="shared" si="12"/>
        <v>-18.750000000000057</v>
      </c>
      <c r="R87" s="41">
        <f t="shared" si="13"/>
        <v>105.7487122884474</v>
      </c>
    </row>
    <row r="88" spans="1:18" ht="15">
      <c r="A88" s="72"/>
      <c r="B88" s="82" t="s">
        <v>228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</row>
    <row r="89" spans="1:18" ht="14.25">
      <c r="A89" s="72">
        <v>59</v>
      </c>
      <c r="B89" s="79" t="s">
        <v>229</v>
      </c>
      <c r="C89" s="40">
        <f>28.6+205.98</f>
        <v>234.57999999999998</v>
      </c>
      <c r="D89" s="40">
        <v>39.51</v>
      </c>
      <c r="E89" s="40">
        <f t="shared" si="7"/>
        <v>274.09</v>
      </c>
      <c r="F89" s="40">
        <v>11.37</v>
      </c>
      <c r="G89" s="40">
        <v>0.11</v>
      </c>
      <c r="H89" s="40">
        <v>0</v>
      </c>
      <c r="I89" s="40">
        <f t="shared" si="8"/>
        <v>11.479999999999999</v>
      </c>
      <c r="J89" s="40">
        <v>9.74</v>
      </c>
      <c r="K89" s="40">
        <v>3.99</v>
      </c>
      <c r="L89" s="40">
        <f t="shared" si="9"/>
        <v>25.21</v>
      </c>
      <c r="M89" s="40">
        <f t="shared" si="10"/>
        <v>248.87999999999997</v>
      </c>
      <c r="N89" s="40">
        <v>210.09</v>
      </c>
      <c r="O89" s="40">
        <v>45.26</v>
      </c>
      <c r="P89" s="40">
        <f t="shared" si="11"/>
        <v>255.35</v>
      </c>
      <c r="Q89" s="40">
        <f t="shared" si="12"/>
        <v>-6.470000000000027</v>
      </c>
      <c r="R89" s="40">
        <f t="shared" si="13"/>
        <v>102.59964641594344</v>
      </c>
    </row>
    <row r="90" spans="1:18" ht="14.25">
      <c r="A90" s="72">
        <v>60</v>
      </c>
      <c r="B90" s="79" t="s">
        <v>230</v>
      </c>
      <c r="C90" s="40">
        <f>54.64+218.46</f>
        <v>273.1</v>
      </c>
      <c r="D90" s="40">
        <v>19.4</v>
      </c>
      <c r="E90" s="40">
        <f t="shared" si="7"/>
        <v>292.5</v>
      </c>
      <c r="F90" s="40">
        <v>3.66</v>
      </c>
      <c r="G90" s="40">
        <v>17.81</v>
      </c>
      <c r="H90" s="40">
        <v>0</v>
      </c>
      <c r="I90" s="40">
        <f>F90+G90+H90</f>
        <v>21.47</v>
      </c>
      <c r="J90" s="40">
        <v>3.64</v>
      </c>
      <c r="K90" s="40">
        <v>6.61</v>
      </c>
      <c r="L90" s="40">
        <f t="shared" si="9"/>
        <v>31.72</v>
      </c>
      <c r="M90" s="40">
        <f t="shared" si="10"/>
        <v>260.78</v>
      </c>
      <c r="N90" s="40">
        <v>209.4</v>
      </c>
      <c r="O90" s="40">
        <v>52.32</v>
      </c>
      <c r="P90" s="40">
        <f t="shared" si="11"/>
        <v>261.72</v>
      </c>
      <c r="Q90" s="40">
        <f t="shared" si="12"/>
        <v>-0.9400000000000546</v>
      </c>
      <c r="R90" s="40">
        <f t="shared" si="13"/>
        <v>100.36045709026769</v>
      </c>
    </row>
    <row r="91" spans="1:18" ht="14.25">
      <c r="A91" s="72">
        <v>61</v>
      </c>
      <c r="B91" s="79" t="s">
        <v>231</v>
      </c>
      <c r="C91" s="40">
        <v>359.33</v>
      </c>
      <c r="D91" s="40">
        <v>46.24</v>
      </c>
      <c r="E91" s="40">
        <f t="shared" si="7"/>
        <v>405.57</v>
      </c>
      <c r="F91" s="83">
        <v>2.82</v>
      </c>
      <c r="G91" s="83">
        <v>0</v>
      </c>
      <c r="H91" s="83">
        <v>1.74</v>
      </c>
      <c r="I91" s="40">
        <f t="shared" si="8"/>
        <v>4.56</v>
      </c>
      <c r="J91" s="83">
        <v>0</v>
      </c>
      <c r="K91" s="83">
        <v>36.77</v>
      </c>
      <c r="L91" s="40">
        <f t="shared" si="9"/>
        <v>41.330000000000005</v>
      </c>
      <c r="M91" s="40">
        <f t="shared" si="10"/>
        <v>364.24</v>
      </c>
      <c r="N91" s="83">
        <v>298.37</v>
      </c>
      <c r="O91" s="83">
        <v>54.5</v>
      </c>
      <c r="P91" s="40">
        <f t="shared" si="11"/>
        <v>352.87</v>
      </c>
      <c r="Q91" s="40">
        <f t="shared" si="12"/>
        <v>11.370000000000005</v>
      </c>
      <c r="R91" s="40">
        <f t="shared" si="13"/>
        <v>96.87843180320668</v>
      </c>
    </row>
    <row r="92" spans="1:18" s="63" customFormat="1" ht="15">
      <c r="A92" s="80"/>
      <c r="B92" s="81" t="s">
        <v>35</v>
      </c>
      <c r="C92" s="41">
        <f>SUM(C89:C91)</f>
        <v>867.01</v>
      </c>
      <c r="D92" s="41">
        <f>SUM(D89:D91)</f>
        <v>105.15</v>
      </c>
      <c r="E92" s="41">
        <f t="shared" si="7"/>
        <v>972.16</v>
      </c>
      <c r="F92" s="41">
        <f>SUM(F89:F91)</f>
        <v>17.849999999999998</v>
      </c>
      <c r="G92" s="41">
        <f>SUM(G89:G91)</f>
        <v>17.919999999999998</v>
      </c>
      <c r="H92" s="41">
        <f>SUM(H89:H91)</f>
        <v>1.74</v>
      </c>
      <c r="I92" s="41">
        <f t="shared" si="8"/>
        <v>37.51</v>
      </c>
      <c r="J92" s="41">
        <f>SUM(J89:J91)</f>
        <v>13.38</v>
      </c>
      <c r="K92" s="41">
        <f>SUM(K89:K91)</f>
        <v>47.370000000000005</v>
      </c>
      <c r="L92" s="41">
        <f t="shared" si="9"/>
        <v>98.26</v>
      </c>
      <c r="M92" s="41">
        <f t="shared" si="10"/>
        <v>873.9</v>
      </c>
      <c r="N92" s="41">
        <f>SUM(N89:N91)</f>
        <v>717.86</v>
      </c>
      <c r="O92" s="41">
        <f>SUM(O89:O91)</f>
        <v>152.07999999999998</v>
      </c>
      <c r="P92" s="41">
        <f t="shared" si="11"/>
        <v>869.94</v>
      </c>
      <c r="Q92" s="41">
        <f t="shared" si="12"/>
        <v>3.9599999999999227</v>
      </c>
      <c r="R92" s="41">
        <f t="shared" si="13"/>
        <v>99.54685890834193</v>
      </c>
    </row>
    <row r="93" spans="1:18" ht="15">
      <c r="A93" s="72"/>
      <c r="B93" s="82" t="s">
        <v>232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ht="14.25">
      <c r="A94" s="72">
        <v>62</v>
      </c>
      <c r="B94" s="79" t="s">
        <v>233</v>
      </c>
      <c r="C94" s="40">
        <f>27.5+416.19</f>
        <v>443.69</v>
      </c>
      <c r="D94" s="40">
        <v>41.81</v>
      </c>
      <c r="E94" s="40">
        <f t="shared" si="7"/>
        <v>485.5</v>
      </c>
      <c r="F94" s="40">
        <v>4.05</v>
      </c>
      <c r="G94" s="40">
        <v>175.35</v>
      </c>
      <c r="H94" s="40">
        <v>6.93</v>
      </c>
      <c r="I94" s="40">
        <f t="shared" si="8"/>
        <v>186.33</v>
      </c>
      <c r="J94" s="40">
        <v>3.82</v>
      </c>
      <c r="K94" s="40">
        <v>2.67</v>
      </c>
      <c r="L94" s="40">
        <f t="shared" si="9"/>
        <v>192.82</v>
      </c>
      <c r="M94" s="40">
        <f t="shared" si="10"/>
        <v>292.68</v>
      </c>
      <c r="N94" s="40">
        <v>267.92</v>
      </c>
      <c r="O94" s="40">
        <v>48.81</v>
      </c>
      <c r="P94" s="40">
        <f t="shared" si="11"/>
        <v>316.73</v>
      </c>
      <c r="Q94" s="40">
        <f t="shared" si="12"/>
        <v>-24.05000000000001</v>
      </c>
      <c r="R94" s="40">
        <f t="shared" si="13"/>
        <v>108.21716550498839</v>
      </c>
    </row>
    <row r="95" spans="1:18" ht="14.25">
      <c r="A95" s="72">
        <v>63</v>
      </c>
      <c r="B95" s="79" t="s">
        <v>234</v>
      </c>
      <c r="C95" s="40">
        <f>81.27+231.67</f>
        <v>312.94</v>
      </c>
      <c r="D95" s="40">
        <v>33.41</v>
      </c>
      <c r="E95" s="40">
        <f t="shared" si="7"/>
        <v>346.35</v>
      </c>
      <c r="F95" s="40">
        <v>5.77</v>
      </c>
      <c r="G95" s="40">
        <v>5.22</v>
      </c>
      <c r="H95" s="40">
        <v>49.46</v>
      </c>
      <c r="I95" s="40">
        <f t="shared" si="8"/>
        <v>60.45</v>
      </c>
      <c r="J95" s="40">
        <v>0</v>
      </c>
      <c r="K95" s="40">
        <v>16.66</v>
      </c>
      <c r="L95" s="40">
        <f t="shared" si="9"/>
        <v>77.11</v>
      </c>
      <c r="M95" s="40">
        <f t="shared" si="10"/>
        <v>269.24</v>
      </c>
      <c r="N95" s="40">
        <v>201.37</v>
      </c>
      <c r="O95" s="40">
        <v>50.21</v>
      </c>
      <c r="P95" s="40">
        <f t="shared" si="11"/>
        <v>251.58</v>
      </c>
      <c r="Q95" s="40">
        <f t="shared" si="12"/>
        <v>17.659999999999997</v>
      </c>
      <c r="R95" s="40">
        <f t="shared" si="13"/>
        <v>93.44079631555489</v>
      </c>
    </row>
    <row r="96" spans="1:18" s="63" customFormat="1" ht="15">
      <c r="A96" s="80"/>
      <c r="B96" s="81" t="s">
        <v>35</v>
      </c>
      <c r="C96" s="41">
        <f>SUM(C94:C95)</f>
        <v>756.63</v>
      </c>
      <c r="D96" s="41">
        <f>SUM(D94:D95)</f>
        <v>75.22</v>
      </c>
      <c r="E96" s="41">
        <f t="shared" si="7"/>
        <v>831.85</v>
      </c>
      <c r="F96" s="41">
        <f>SUM(F94:F95)</f>
        <v>9.82</v>
      </c>
      <c r="G96" s="41">
        <f>SUM(G94:G95)</f>
        <v>180.57</v>
      </c>
      <c r="H96" s="41">
        <f>SUM(H94:H95)</f>
        <v>56.39</v>
      </c>
      <c r="I96" s="41">
        <f t="shared" si="8"/>
        <v>246.77999999999997</v>
      </c>
      <c r="J96" s="41">
        <f>SUM(J94:J95)</f>
        <v>3.82</v>
      </c>
      <c r="K96" s="41">
        <f>SUM(K94:K95)</f>
        <v>19.33</v>
      </c>
      <c r="L96" s="41">
        <f t="shared" si="9"/>
        <v>269.92999999999995</v>
      </c>
      <c r="M96" s="41">
        <f t="shared" si="10"/>
        <v>561.9200000000001</v>
      </c>
      <c r="N96" s="41">
        <f>SUM(N94:N95)</f>
        <v>469.29</v>
      </c>
      <c r="O96" s="41">
        <f>SUM(O94:O95)</f>
        <v>99.02000000000001</v>
      </c>
      <c r="P96" s="41">
        <f t="shared" si="11"/>
        <v>568.3100000000001</v>
      </c>
      <c r="Q96" s="41">
        <f t="shared" si="12"/>
        <v>-6.389999999999986</v>
      </c>
      <c r="R96" s="41">
        <f t="shared" si="13"/>
        <v>101.13717255125285</v>
      </c>
    </row>
  </sheetData>
  <mergeCells count="19">
    <mergeCell ref="R4:R5"/>
    <mergeCell ref="N4:N5"/>
    <mergeCell ref="O4:O5"/>
    <mergeCell ref="P4:P5"/>
    <mergeCell ref="Q4:Q5"/>
    <mergeCell ref="J4:J5"/>
    <mergeCell ref="K4:K5"/>
    <mergeCell ref="L4:L5"/>
    <mergeCell ref="M4:M5"/>
    <mergeCell ref="B1:R1"/>
    <mergeCell ref="B2:R2"/>
    <mergeCell ref="B3:R3"/>
    <mergeCell ref="A4:A5"/>
    <mergeCell ref="B4:B5"/>
    <mergeCell ref="C4:C5"/>
    <mergeCell ref="D4:D5"/>
    <mergeCell ref="E4:E5"/>
    <mergeCell ref="F4:H4"/>
    <mergeCell ref="I4:I5"/>
  </mergeCells>
  <printOptions/>
  <pageMargins left="0.26" right="0.38" top="1" bottom="1" header="0.5" footer="0.5"/>
  <pageSetup horizontalDpi="300" verticalDpi="300" orientation="landscape" scale="84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96"/>
  <sheetViews>
    <sheetView workbookViewId="0" topLeftCell="A4">
      <selection activeCell="J26" sqref="J26"/>
    </sheetView>
  </sheetViews>
  <sheetFormatPr defaultColWidth="9.140625" defaultRowHeight="12.75"/>
  <cols>
    <col min="1" max="1" width="3.8515625" style="0" customWidth="1"/>
    <col min="2" max="2" width="20.140625" style="0" customWidth="1"/>
    <col min="3" max="3" width="9.421875" style="0" customWidth="1"/>
    <col min="4" max="4" width="8.8515625" style="0" customWidth="1"/>
    <col min="5" max="5" width="9.57421875" style="0" customWidth="1"/>
    <col min="6" max="6" width="9.7109375" style="0" customWidth="1"/>
    <col min="7" max="8" width="9.28125" style="0" customWidth="1"/>
    <col min="9" max="9" width="9.57421875" style="0" customWidth="1"/>
    <col min="10" max="10" width="8.57421875" style="0" customWidth="1"/>
    <col min="11" max="11" width="9.28125" style="0" customWidth="1"/>
    <col min="12" max="12" width="9.57421875" style="0" customWidth="1"/>
    <col min="13" max="14" width="8.140625" style="0" customWidth="1"/>
    <col min="15" max="15" width="7.57421875" style="0" customWidth="1"/>
    <col min="16" max="16" width="8.421875" style="0" customWidth="1"/>
    <col min="17" max="17" width="8.140625" style="0" customWidth="1"/>
    <col min="18" max="18" width="6.28125" style="0" customWidth="1"/>
  </cols>
  <sheetData>
    <row r="1" spans="2:18" ht="18">
      <c r="B1" s="157" t="s">
        <v>154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2:18" ht="18">
      <c r="B2" s="157" t="s">
        <v>235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2:18" ht="15.75">
      <c r="B3" s="158" t="s">
        <v>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ht="12.75">
      <c r="A4" s="199" t="s">
        <v>156</v>
      </c>
      <c r="B4" s="147" t="s">
        <v>3</v>
      </c>
      <c r="C4" s="153" t="s">
        <v>157</v>
      </c>
      <c r="D4" s="153" t="s">
        <v>5</v>
      </c>
      <c r="E4" s="153" t="s">
        <v>6</v>
      </c>
      <c r="F4" s="152" t="s">
        <v>7</v>
      </c>
      <c r="G4" s="152"/>
      <c r="H4" s="152"/>
      <c r="I4" s="153" t="s">
        <v>8</v>
      </c>
      <c r="J4" s="147" t="s">
        <v>9</v>
      </c>
      <c r="K4" s="147" t="s">
        <v>38</v>
      </c>
      <c r="L4" s="150" t="s">
        <v>11</v>
      </c>
      <c r="M4" s="147" t="s">
        <v>39</v>
      </c>
      <c r="N4" s="147" t="s">
        <v>13</v>
      </c>
      <c r="O4" s="147" t="s">
        <v>14</v>
      </c>
      <c r="P4" s="147" t="s">
        <v>15</v>
      </c>
      <c r="Q4" s="147" t="s">
        <v>16</v>
      </c>
      <c r="R4" s="147" t="s">
        <v>17</v>
      </c>
    </row>
    <row r="5" spans="1:18" ht="78" customHeight="1">
      <c r="A5" s="199"/>
      <c r="B5" s="147"/>
      <c r="C5" s="155"/>
      <c r="D5" s="156"/>
      <c r="E5" s="154"/>
      <c r="F5" s="19" t="s">
        <v>18</v>
      </c>
      <c r="G5" s="19" t="s">
        <v>19</v>
      </c>
      <c r="H5" s="19" t="s">
        <v>20</v>
      </c>
      <c r="I5" s="154"/>
      <c r="J5" s="147"/>
      <c r="K5" s="147"/>
      <c r="L5" s="151"/>
      <c r="M5" s="147"/>
      <c r="N5" s="147"/>
      <c r="O5" s="147"/>
      <c r="P5" s="147"/>
      <c r="Q5" s="147"/>
      <c r="R5" s="147"/>
    </row>
    <row r="6" spans="1:18" ht="15">
      <c r="A6" s="20"/>
      <c r="B6" s="84" t="s">
        <v>158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4.25">
      <c r="A7" s="20">
        <v>1</v>
      </c>
      <c r="B7" s="85" t="s">
        <v>159</v>
      </c>
      <c r="C7" s="40">
        <f>12898.61+1737.73</f>
        <v>14636.34</v>
      </c>
      <c r="D7" s="40">
        <v>159.87</v>
      </c>
      <c r="E7" s="40">
        <f>C7+D7</f>
        <v>14796.210000000001</v>
      </c>
      <c r="F7" s="40">
        <v>3764.4</v>
      </c>
      <c r="G7" s="40">
        <v>5597.39</v>
      </c>
      <c r="H7" s="40">
        <v>337.67</v>
      </c>
      <c r="I7" s="40">
        <f>F7+G7+H7</f>
        <v>9699.460000000001</v>
      </c>
      <c r="J7" s="40">
        <v>736.06</v>
      </c>
      <c r="K7" s="40">
        <v>2646.64</v>
      </c>
      <c r="L7" s="40">
        <f>I7+J7+K7</f>
        <v>13082.16</v>
      </c>
      <c r="M7" s="40">
        <f>E7-L7</f>
        <v>1714.050000000001</v>
      </c>
      <c r="N7" s="40">
        <v>926.22</v>
      </c>
      <c r="O7" s="40">
        <v>500.65</v>
      </c>
      <c r="P7" s="40">
        <f>N7+O7</f>
        <v>1426.87</v>
      </c>
      <c r="Q7" s="40">
        <f>M7-P7</f>
        <v>287.1800000000012</v>
      </c>
      <c r="R7" s="40">
        <f>P7/M7*100</f>
        <v>83.2455295936524</v>
      </c>
    </row>
    <row r="8" spans="1:18" ht="14.25">
      <c r="A8" s="20">
        <v>2</v>
      </c>
      <c r="B8" s="85" t="s">
        <v>160</v>
      </c>
      <c r="C8" s="40">
        <f>2068.08+770.67</f>
        <v>2838.75</v>
      </c>
      <c r="D8" s="40">
        <v>54.09</v>
      </c>
      <c r="E8" s="40">
        <f aca="true" t="shared" si="0" ref="E8:E71">C8+D8</f>
        <v>2892.84</v>
      </c>
      <c r="F8" s="40">
        <v>1306.18</v>
      </c>
      <c r="G8" s="40">
        <v>290.11</v>
      </c>
      <c r="H8" s="40">
        <v>61.82</v>
      </c>
      <c r="I8" s="40">
        <f aca="true" t="shared" si="1" ref="I8:I71">F8+G8+H8</f>
        <v>1658.11</v>
      </c>
      <c r="J8" s="40">
        <v>7.64</v>
      </c>
      <c r="K8" s="40">
        <v>639.53</v>
      </c>
      <c r="L8" s="40">
        <f aca="true" t="shared" si="2" ref="L8:L71">I8+J8+K8</f>
        <v>2305.2799999999997</v>
      </c>
      <c r="M8" s="40">
        <f aca="true" t="shared" si="3" ref="M8:M71">E8-L8</f>
        <v>587.5600000000004</v>
      </c>
      <c r="N8" s="40">
        <v>320.56</v>
      </c>
      <c r="O8" s="40">
        <v>62.77</v>
      </c>
      <c r="P8" s="40">
        <f aca="true" t="shared" si="4" ref="P8:P71">N8+O8</f>
        <v>383.33</v>
      </c>
      <c r="Q8" s="40">
        <f aca="true" t="shared" si="5" ref="Q8:Q71">M8-P8</f>
        <v>204.23000000000042</v>
      </c>
      <c r="R8" s="40">
        <f aca="true" t="shared" si="6" ref="R8:R71">P8/M8*100</f>
        <v>65.24099666417042</v>
      </c>
    </row>
    <row r="9" spans="1:18" ht="14.25">
      <c r="A9" s="20">
        <v>3</v>
      </c>
      <c r="B9" s="85" t="s">
        <v>161</v>
      </c>
      <c r="C9" s="40">
        <f>749.77+232.57</f>
        <v>982.3399999999999</v>
      </c>
      <c r="D9" s="40">
        <v>480.94</v>
      </c>
      <c r="E9" s="40">
        <f t="shared" si="0"/>
        <v>1463.28</v>
      </c>
      <c r="F9" s="40">
        <v>319.72</v>
      </c>
      <c r="G9" s="40">
        <v>368.38</v>
      </c>
      <c r="H9" s="40">
        <v>20</v>
      </c>
      <c r="I9" s="40">
        <f t="shared" si="1"/>
        <v>708.1</v>
      </c>
      <c r="J9" s="40">
        <v>0</v>
      </c>
      <c r="K9" s="40">
        <v>216.54</v>
      </c>
      <c r="L9" s="40">
        <f t="shared" si="2"/>
        <v>924.64</v>
      </c>
      <c r="M9" s="40">
        <f t="shared" si="3"/>
        <v>538.64</v>
      </c>
      <c r="N9" s="40">
        <v>284.42</v>
      </c>
      <c r="O9" s="40">
        <v>101.98</v>
      </c>
      <c r="P9" s="40">
        <f t="shared" si="4"/>
        <v>386.40000000000003</v>
      </c>
      <c r="Q9" s="40">
        <f t="shared" si="5"/>
        <v>152.23999999999995</v>
      </c>
      <c r="R9" s="40">
        <f t="shared" si="6"/>
        <v>71.73622456557256</v>
      </c>
    </row>
    <row r="10" spans="1:18" ht="14.25">
      <c r="A10" s="20">
        <v>4</v>
      </c>
      <c r="B10" s="85" t="s">
        <v>162</v>
      </c>
      <c r="C10" s="40">
        <f>1640.7+1683.14</f>
        <v>3323.84</v>
      </c>
      <c r="D10" s="40">
        <v>41.69</v>
      </c>
      <c r="E10" s="40">
        <f t="shared" si="0"/>
        <v>3365.53</v>
      </c>
      <c r="F10" s="40">
        <v>1935.6</v>
      </c>
      <c r="G10" s="40">
        <v>230.58</v>
      </c>
      <c r="H10" s="40">
        <v>0.85</v>
      </c>
      <c r="I10" s="40">
        <f t="shared" si="1"/>
        <v>2167.0299999999997</v>
      </c>
      <c r="J10" s="40">
        <v>10.87</v>
      </c>
      <c r="K10" s="40">
        <v>592.97</v>
      </c>
      <c r="L10" s="40">
        <f t="shared" si="2"/>
        <v>2770.87</v>
      </c>
      <c r="M10" s="40">
        <f t="shared" si="3"/>
        <v>594.6600000000003</v>
      </c>
      <c r="N10" s="40">
        <v>426.42</v>
      </c>
      <c r="O10" s="40">
        <v>140.37</v>
      </c>
      <c r="P10" s="40">
        <f t="shared" si="4"/>
        <v>566.79</v>
      </c>
      <c r="Q10" s="40">
        <f t="shared" si="5"/>
        <v>27.870000000000346</v>
      </c>
      <c r="R10" s="40">
        <f t="shared" si="6"/>
        <v>95.31328826556346</v>
      </c>
    </row>
    <row r="11" spans="1:18" s="63" customFormat="1" ht="15">
      <c r="A11" s="21"/>
      <c r="B11" s="7" t="s">
        <v>35</v>
      </c>
      <c r="C11" s="41">
        <f>SUM(C7:C10)</f>
        <v>21781.27</v>
      </c>
      <c r="D11" s="41">
        <f>SUM(D7:D10)</f>
        <v>736.5899999999999</v>
      </c>
      <c r="E11" s="41">
        <f t="shared" si="0"/>
        <v>22517.86</v>
      </c>
      <c r="F11" s="41">
        <f>SUM(F7:F10)</f>
        <v>7325.9</v>
      </c>
      <c r="G11" s="41">
        <f>SUM(G7:G10)</f>
        <v>6486.46</v>
      </c>
      <c r="H11" s="41">
        <f>SUM(H7:H10)</f>
        <v>420.34000000000003</v>
      </c>
      <c r="I11" s="41">
        <f t="shared" si="1"/>
        <v>14232.7</v>
      </c>
      <c r="J11" s="41">
        <f>SUM(J7:J10)</f>
        <v>754.5699999999999</v>
      </c>
      <c r="K11" s="41">
        <f>SUM(K7:K10)</f>
        <v>4095.6800000000003</v>
      </c>
      <c r="L11" s="41">
        <f t="shared" si="2"/>
        <v>19082.95</v>
      </c>
      <c r="M11" s="41">
        <f t="shared" si="3"/>
        <v>3434.91</v>
      </c>
      <c r="N11" s="41">
        <f>SUM(N7:N10)</f>
        <v>1957.6200000000001</v>
      </c>
      <c r="O11" s="41">
        <f>SUM(O7:O10)</f>
        <v>805.77</v>
      </c>
      <c r="P11" s="41">
        <f t="shared" si="4"/>
        <v>2763.3900000000003</v>
      </c>
      <c r="Q11" s="41">
        <f t="shared" si="5"/>
        <v>671.5199999999995</v>
      </c>
      <c r="R11" s="41">
        <f t="shared" si="6"/>
        <v>80.45014279850128</v>
      </c>
    </row>
    <row r="12" spans="1:18" ht="15">
      <c r="A12" s="20"/>
      <c r="B12" s="86" t="s">
        <v>163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4.25">
      <c r="A13" s="20">
        <v>5</v>
      </c>
      <c r="B13" s="85" t="s">
        <v>164</v>
      </c>
      <c r="C13" s="40">
        <v>29990.37</v>
      </c>
      <c r="D13" s="40">
        <v>453.08</v>
      </c>
      <c r="E13" s="40">
        <f t="shared" si="0"/>
        <v>30443.45</v>
      </c>
      <c r="F13" s="40">
        <v>3246.44</v>
      </c>
      <c r="G13" s="40">
        <v>18806.25</v>
      </c>
      <c r="H13" s="40">
        <v>5134.32</v>
      </c>
      <c r="I13" s="40">
        <f t="shared" si="1"/>
        <v>27187.01</v>
      </c>
      <c r="J13" s="40">
        <v>0</v>
      </c>
      <c r="K13" s="40">
        <v>1789.81</v>
      </c>
      <c r="L13" s="40">
        <f t="shared" si="2"/>
        <v>28976.82</v>
      </c>
      <c r="M13" s="40">
        <f t="shared" si="3"/>
        <v>1466.630000000001</v>
      </c>
      <c r="N13" s="40">
        <v>1046.22</v>
      </c>
      <c r="O13" s="40">
        <v>277.8</v>
      </c>
      <c r="P13" s="40">
        <f t="shared" si="4"/>
        <v>1324.02</v>
      </c>
      <c r="Q13" s="40">
        <f t="shared" si="5"/>
        <v>142.61000000000104</v>
      </c>
      <c r="R13" s="40">
        <f t="shared" si="6"/>
        <v>90.27634781778629</v>
      </c>
    </row>
    <row r="14" spans="1:18" ht="14.25">
      <c r="A14" s="20">
        <v>6</v>
      </c>
      <c r="B14" s="85" t="s">
        <v>165</v>
      </c>
      <c r="C14" s="40">
        <f>430.24+708.68</f>
        <v>1138.92</v>
      </c>
      <c r="D14" s="40">
        <v>63.3</v>
      </c>
      <c r="E14" s="40">
        <f t="shared" si="0"/>
        <v>1202.22</v>
      </c>
      <c r="F14" s="40">
        <v>386.36</v>
      </c>
      <c r="G14" s="40">
        <v>57.77</v>
      </c>
      <c r="H14" s="40">
        <v>7.21</v>
      </c>
      <c r="I14" s="40">
        <f t="shared" si="1"/>
        <v>451.34</v>
      </c>
      <c r="J14" s="40">
        <v>51.14</v>
      </c>
      <c r="K14" s="40">
        <v>281.49</v>
      </c>
      <c r="L14" s="40">
        <f t="shared" si="2"/>
        <v>783.97</v>
      </c>
      <c r="M14" s="40">
        <f t="shared" si="3"/>
        <v>418.25</v>
      </c>
      <c r="N14" s="40">
        <v>217.01</v>
      </c>
      <c r="O14" s="40">
        <v>118.51</v>
      </c>
      <c r="P14" s="40">
        <f t="shared" si="4"/>
        <v>335.52</v>
      </c>
      <c r="Q14" s="40">
        <f t="shared" si="5"/>
        <v>82.73000000000002</v>
      </c>
      <c r="R14" s="40">
        <f t="shared" si="6"/>
        <v>80.21996413628212</v>
      </c>
    </row>
    <row r="15" spans="1:18" ht="14.25">
      <c r="A15" s="20">
        <v>7</v>
      </c>
      <c r="B15" s="85" t="s">
        <v>166</v>
      </c>
      <c r="C15" s="40">
        <f>996.8+9930.7</f>
        <v>10927.5</v>
      </c>
      <c r="D15" s="40">
        <v>3977.75</v>
      </c>
      <c r="E15" s="40">
        <f t="shared" si="0"/>
        <v>14905.25</v>
      </c>
      <c r="F15" s="40">
        <v>4159.95</v>
      </c>
      <c r="G15" s="40">
        <v>2291.4</v>
      </c>
      <c r="H15" s="40">
        <v>146.45</v>
      </c>
      <c r="I15" s="40">
        <f t="shared" si="1"/>
        <v>6597.8</v>
      </c>
      <c r="J15" s="40">
        <v>6558.18</v>
      </c>
      <c r="K15" s="40">
        <v>1243.63</v>
      </c>
      <c r="L15" s="40">
        <f t="shared" si="2"/>
        <v>14399.61</v>
      </c>
      <c r="M15" s="40">
        <f t="shared" si="3"/>
        <v>505.6399999999994</v>
      </c>
      <c r="N15" s="40">
        <v>285.87</v>
      </c>
      <c r="O15" s="40">
        <v>45.87</v>
      </c>
      <c r="P15" s="40">
        <f t="shared" si="4"/>
        <v>331.74</v>
      </c>
      <c r="Q15" s="40">
        <f t="shared" si="5"/>
        <v>173.8999999999994</v>
      </c>
      <c r="R15" s="40">
        <f t="shared" si="6"/>
        <v>65.60794240961957</v>
      </c>
    </row>
    <row r="16" spans="1:18" ht="14.25">
      <c r="A16" s="20">
        <v>8</v>
      </c>
      <c r="B16" s="85" t="s">
        <v>167</v>
      </c>
      <c r="C16" s="40">
        <f>283.57+477.3</f>
        <v>760.87</v>
      </c>
      <c r="D16" s="40">
        <v>40.35</v>
      </c>
      <c r="E16" s="40">
        <f t="shared" si="0"/>
        <v>801.22</v>
      </c>
      <c r="F16" s="40">
        <v>67.27</v>
      </c>
      <c r="G16" s="40">
        <v>174.87</v>
      </c>
      <c r="H16" s="40">
        <v>17.43</v>
      </c>
      <c r="I16" s="40">
        <f t="shared" si="1"/>
        <v>259.57</v>
      </c>
      <c r="J16" s="40">
        <v>33.42</v>
      </c>
      <c r="K16" s="40">
        <v>161.31</v>
      </c>
      <c r="L16" s="40">
        <f t="shared" si="2"/>
        <v>454.3</v>
      </c>
      <c r="M16" s="40">
        <f t="shared" si="3"/>
        <v>346.92</v>
      </c>
      <c r="N16" s="40">
        <v>182.63</v>
      </c>
      <c r="O16" s="40">
        <v>52.55</v>
      </c>
      <c r="P16" s="40">
        <f t="shared" si="4"/>
        <v>235.18</v>
      </c>
      <c r="Q16" s="40">
        <f t="shared" si="5"/>
        <v>111.74000000000001</v>
      </c>
      <c r="R16" s="40">
        <f t="shared" si="6"/>
        <v>67.79084515161998</v>
      </c>
    </row>
    <row r="17" spans="1:18" ht="14.25">
      <c r="A17" s="20">
        <v>9</v>
      </c>
      <c r="B17" s="85" t="s">
        <v>168</v>
      </c>
      <c r="C17" s="40">
        <f>179.71+174.8</f>
        <v>354.51</v>
      </c>
      <c r="D17" s="40">
        <v>10.12</v>
      </c>
      <c r="E17" s="40">
        <f t="shared" si="0"/>
        <v>364.63</v>
      </c>
      <c r="F17" s="40">
        <v>56.58</v>
      </c>
      <c r="G17" s="40">
        <v>46.55</v>
      </c>
      <c r="H17" s="40">
        <v>62.53</v>
      </c>
      <c r="I17" s="40">
        <f t="shared" si="1"/>
        <v>165.66</v>
      </c>
      <c r="J17" s="40">
        <v>4.61</v>
      </c>
      <c r="K17" s="40">
        <v>43.5</v>
      </c>
      <c r="L17" s="40">
        <f t="shared" si="2"/>
        <v>213.77</v>
      </c>
      <c r="M17" s="40">
        <f t="shared" si="3"/>
        <v>150.85999999999999</v>
      </c>
      <c r="N17" s="40">
        <v>84.41</v>
      </c>
      <c r="O17" s="40">
        <v>26.26</v>
      </c>
      <c r="P17" s="40">
        <f t="shared" si="4"/>
        <v>110.67</v>
      </c>
      <c r="Q17" s="40">
        <f t="shared" si="5"/>
        <v>40.18999999999998</v>
      </c>
      <c r="R17" s="40">
        <f t="shared" si="6"/>
        <v>73.3594060718547</v>
      </c>
    </row>
    <row r="18" spans="1:18" s="63" customFormat="1" ht="15">
      <c r="A18" s="21"/>
      <c r="B18" s="7" t="s">
        <v>35</v>
      </c>
      <c r="C18" s="41">
        <f>SUM(C13:C17)</f>
        <v>43172.170000000006</v>
      </c>
      <c r="D18" s="41">
        <f>SUM(D13:D17)</f>
        <v>4544.6</v>
      </c>
      <c r="E18" s="41">
        <f t="shared" si="0"/>
        <v>47716.770000000004</v>
      </c>
      <c r="F18" s="41">
        <f>SUM(F13:F17)</f>
        <v>7916.6</v>
      </c>
      <c r="G18" s="41">
        <f>SUM(G13:G17)</f>
        <v>21376.84</v>
      </c>
      <c r="H18" s="41">
        <f>SUM(H13:H17)</f>
        <v>5367.94</v>
      </c>
      <c r="I18" s="41">
        <f t="shared" si="1"/>
        <v>34661.380000000005</v>
      </c>
      <c r="J18" s="41">
        <f>SUM(J13:J17)</f>
        <v>6647.35</v>
      </c>
      <c r="K18" s="41">
        <f>SUM(K13:K17)</f>
        <v>3519.7400000000002</v>
      </c>
      <c r="L18" s="41">
        <f t="shared" si="2"/>
        <v>44828.47</v>
      </c>
      <c r="M18" s="41">
        <f t="shared" si="3"/>
        <v>2888.300000000003</v>
      </c>
      <c r="N18" s="41">
        <f>SUM(N13:N17)</f>
        <v>1816.14</v>
      </c>
      <c r="O18" s="41">
        <f>SUM(O13:O17)</f>
        <v>520.99</v>
      </c>
      <c r="P18" s="41">
        <f t="shared" si="4"/>
        <v>2337.13</v>
      </c>
      <c r="Q18" s="41">
        <f t="shared" si="5"/>
        <v>551.1700000000028</v>
      </c>
      <c r="R18" s="41">
        <f t="shared" si="6"/>
        <v>80.9171484956548</v>
      </c>
    </row>
    <row r="19" spans="1:18" ht="15">
      <c r="A19" s="20"/>
      <c r="B19" s="86" t="s">
        <v>169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ht="14.25">
      <c r="A20" s="20">
        <v>10</v>
      </c>
      <c r="B20" s="85" t="s">
        <v>170</v>
      </c>
      <c r="C20" s="40">
        <f>354.8+2378.29</f>
        <v>2733.09</v>
      </c>
      <c r="D20" s="40">
        <v>50.86</v>
      </c>
      <c r="E20" s="40">
        <f t="shared" si="0"/>
        <v>2783.9500000000003</v>
      </c>
      <c r="F20" s="40">
        <v>143.48</v>
      </c>
      <c r="G20" s="40">
        <v>213.81</v>
      </c>
      <c r="H20" s="40">
        <v>62.87</v>
      </c>
      <c r="I20" s="40">
        <f t="shared" si="1"/>
        <v>420.15999999999997</v>
      </c>
      <c r="J20" s="40">
        <v>1464.68</v>
      </c>
      <c r="K20" s="40">
        <v>634.43</v>
      </c>
      <c r="L20" s="40">
        <f t="shared" si="2"/>
        <v>2519.27</v>
      </c>
      <c r="M20" s="40">
        <f t="shared" si="3"/>
        <v>264.6800000000003</v>
      </c>
      <c r="N20" s="40">
        <v>157.34</v>
      </c>
      <c r="O20" s="40">
        <v>57.6</v>
      </c>
      <c r="P20" s="40">
        <f t="shared" si="4"/>
        <v>214.94</v>
      </c>
      <c r="Q20" s="40">
        <f t="shared" si="5"/>
        <v>49.74000000000029</v>
      </c>
      <c r="R20" s="40">
        <f t="shared" si="6"/>
        <v>81.207495844038</v>
      </c>
    </row>
    <row r="21" spans="1:18" ht="14.25">
      <c r="A21" s="20">
        <v>11</v>
      </c>
      <c r="B21" s="85" t="s">
        <v>171</v>
      </c>
      <c r="C21" s="40">
        <f>1432.56+546.08</f>
        <v>1978.6399999999999</v>
      </c>
      <c r="D21" s="40">
        <v>30.9</v>
      </c>
      <c r="E21" s="40">
        <f t="shared" si="0"/>
        <v>2009.54</v>
      </c>
      <c r="F21" s="40">
        <v>632.72</v>
      </c>
      <c r="G21" s="40">
        <v>529.11</v>
      </c>
      <c r="H21" s="40">
        <v>447.12</v>
      </c>
      <c r="I21" s="40">
        <f t="shared" si="1"/>
        <v>1608.9499999999998</v>
      </c>
      <c r="J21" s="40">
        <v>75.17</v>
      </c>
      <c r="K21" s="40">
        <v>66.52</v>
      </c>
      <c r="L21" s="40">
        <f t="shared" si="2"/>
        <v>1750.6399999999999</v>
      </c>
      <c r="M21" s="40">
        <f t="shared" si="3"/>
        <v>258.9000000000001</v>
      </c>
      <c r="N21" s="40">
        <v>178.62</v>
      </c>
      <c r="O21" s="40">
        <v>72.01</v>
      </c>
      <c r="P21" s="40">
        <f t="shared" si="4"/>
        <v>250.63</v>
      </c>
      <c r="Q21" s="40">
        <f t="shared" si="5"/>
        <v>8.270000000000095</v>
      </c>
      <c r="R21" s="40">
        <f t="shared" si="6"/>
        <v>96.80571649285434</v>
      </c>
    </row>
    <row r="22" spans="1:18" ht="14.25">
      <c r="A22" s="20">
        <v>12</v>
      </c>
      <c r="B22" s="85" t="s">
        <v>172</v>
      </c>
      <c r="C22" s="40">
        <f>2601.09+1008.99</f>
        <v>3610.08</v>
      </c>
      <c r="D22" s="40">
        <v>73.84</v>
      </c>
      <c r="E22" s="40">
        <f t="shared" si="0"/>
        <v>3683.92</v>
      </c>
      <c r="F22" s="40">
        <v>184.05</v>
      </c>
      <c r="G22" s="40">
        <v>2640.96</v>
      </c>
      <c r="H22" s="40">
        <v>103.77</v>
      </c>
      <c r="I22" s="40">
        <f t="shared" si="1"/>
        <v>2928.78</v>
      </c>
      <c r="J22" s="40">
        <v>429.87</v>
      </c>
      <c r="K22" s="40">
        <v>74.68</v>
      </c>
      <c r="L22" s="40">
        <f t="shared" si="2"/>
        <v>3433.33</v>
      </c>
      <c r="M22" s="40">
        <f t="shared" si="3"/>
        <v>250.59000000000015</v>
      </c>
      <c r="N22" s="40">
        <v>149</v>
      </c>
      <c r="O22" s="40">
        <v>79.43</v>
      </c>
      <c r="P22" s="40">
        <f t="shared" si="4"/>
        <v>228.43</v>
      </c>
      <c r="Q22" s="40">
        <f t="shared" si="5"/>
        <v>22.16000000000014</v>
      </c>
      <c r="R22" s="40">
        <f t="shared" si="6"/>
        <v>91.15686978730191</v>
      </c>
    </row>
    <row r="23" spans="1:18" ht="14.25">
      <c r="A23" s="20">
        <v>13</v>
      </c>
      <c r="B23" s="85" t="s">
        <v>173</v>
      </c>
      <c r="C23" s="40">
        <f>173.86+90.55</f>
        <v>264.41</v>
      </c>
      <c r="D23" s="40">
        <v>36.95</v>
      </c>
      <c r="E23" s="40">
        <f t="shared" si="0"/>
        <v>301.36</v>
      </c>
      <c r="F23" s="40">
        <v>41.98</v>
      </c>
      <c r="G23" s="40">
        <v>87.64</v>
      </c>
      <c r="H23" s="40">
        <v>1.86</v>
      </c>
      <c r="I23" s="40">
        <f t="shared" si="1"/>
        <v>131.48000000000002</v>
      </c>
      <c r="J23" s="40">
        <v>0</v>
      </c>
      <c r="K23" s="40">
        <v>74.89</v>
      </c>
      <c r="L23" s="40">
        <f t="shared" si="2"/>
        <v>206.37</v>
      </c>
      <c r="M23" s="40">
        <f t="shared" si="3"/>
        <v>94.99000000000001</v>
      </c>
      <c r="N23" s="40">
        <v>54.93</v>
      </c>
      <c r="O23" s="40">
        <v>14.51</v>
      </c>
      <c r="P23" s="40">
        <f t="shared" si="4"/>
        <v>69.44</v>
      </c>
      <c r="Q23" s="40">
        <f t="shared" si="5"/>
        <v>25.55000000000001</v>
      </c>
      <c r="R23" s="40">
        <f t="shared" si="6"/>
        <v>73.10243183492999</v>
      </c>
    </row>
    <row r="24" spans="1:18" ht="14.25">
      <c r="A24" s="20">
        <v>14</v>
      </c>
      <c r="B24" s="85" t="s">
        <v>174</v>
      </c>
      <c r="C24" s="40">
        <f>332.6+99.54</f>
        <v>432.14000000000004</v>
      </c>
      <c r="D24" s="40">
        <v>12.69</v>
      </c>
      <c r="E24" s="40">
        <f t="shared" si="0"/>
        <v>444.83000000000004</v>
      </c>
      <c r="F24" s="40">
        <v>81.31</v>
      </c>
      <c r="G24" s="40">
        <v>241.03</v>
      </c>
      <c r="H24" s="40">
        <v>6.9</v>
      </c>
      <c r="I24" s="40">
        <f t="shared" si="1"/>
        <v>329.24</v>
      </c>
      <c r="J24" s="40">
        <v>12.86</v>
      </c>
      <c r="K24" s="40">
        <v>39.16</v>
      </c>
      <c r="L24" s="40">
        <f t="shared" si="2"/>
        <v>381.26</v>
      </c>
      <c r="M24" s="40">
        <f t="shared" si="3"/>
        <v>63.57000000000005</v>
      </c>
      <c r="N24" s="40">
        <v>33.56</v>
      </c>
      <c r="O24" s="40">
        <v>20.18</v>
      </c>
      <c r="P24" s="40">
        <f t="shared" si="4"/>
        <v>53.74</v>
      </c>
      <c r="Q24" s="40">
        <f t="shared" si="5"/>
        <v>9.830000000000048</v>
      </c>
      <c r="R24" s="40">
        <f t="shared" si="6"/>
        <v>84.53673116249797</v>
      </c>
    </row>
    <row r="25" spans="1:18" s="63" customFormat="1" ht="15">
      <c r="A25" s="21"/>
      <c r="B25" s="7" t="s">
        <v>35</v>
      </c>
      <c r="C25" s="41">
        <f>SUM(C20:C24)</f>
        <v>9018.359999999999</v>
      </c>
      <c r="D25" s="41">
        <f>SUM(D20:D24)</f>
        <v>205.24</v>
      </c>
      <c r="E25" s="41">
        <f t="shared" si="0"/>
        <v>9223.599999999999</v>
      </c>
      <c r="F25" s="41">
        <f>SUM(F20:F24)</f>
        <v>1083.54</v>
      </c>
      <c r="G25" s="41">
        <f>SUM(G20:G24)</f>
        <v>3712.55</v>
      </c>
      <c r="H25" s="41">
        <f>SUM(H20:H24)</f>
        <v>622.52</v>
      </c>
      <c r="I25" s="41">
        <f t="shared" si="1"/>
        <v>5418.610000000001</v>
      </c>
      <c r="J25" s="41">
        <f>SUM(J20:J24)</f>
        <v>1982.5800000000002</v>
      </c>
      <c r="K25" s="41">
        <f>SUM(K20:K24)</f>
        <v>889.6799999999998</v>
      </c>
      <c r="L25" s="41">
        <f t="shared" si="2"/>
        <v>8290.87</v>
      </c>
      <c r="M25" s="41">
        <f t="shared" si="3"/>
        <v>932.7299999999977</v>
      </c>
      <c r="N25" s="41">
        <f>SUM(N20:N24)</f>
        <v>573.45</v>
      </c>
      <c r="O25" s="41">
        <f>SUM(O20:O24)</f>
        <v>243.73000000000002</v>
      </c>
      <c r="P25" s="41">
        <f t="shared" si="4"/>
        <v>817.1800000000001</v>
      </c>
      <c r="Q25" s="41">
        <f t="shared" si="5"/>
        <v>115.54999999999768</v>
      </c>
      <c r="R25" s="41">
        <f t="shared" si="6"/>
        <v>87.61163466383648</v>
      </c>
    </row>
    <row r="26" spans="1:18" ht="15">
      <c r="A26" s="20"/>
      <c r="B26" s="86" t="s">
        <v>175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ht="14.25">
      <c r="A27" s="20">
        <v>15</v>
      </c>
      <c r="B27" s="85" t="s">
        <v>176</v>
      </c>
      <c r="C27" s="40">
        <f>216.57+505.56</f>
        <v>722.13</v>
      </c>
      <c r="D27" s="40">
        <v>0</v>
      </c>
      <c r="E27" s="40">
        <f t="shared" si="0"/>
        <v>722.13</v>
      </c>
      <c r="F27" s="40">
        <v>284.4</v>
      </c>
      <c r="G27" s="40">
        <v>91.62</v>
      </c>
      <c r="H27" s="40">
        <v>31.52</v>
      </c>
      <c r="I27" s="40">
        <f t="shared" si="1"/>
        <v>407.53999999999996</v>
      </c>
      <c r="J27" s="40">
        <v>0</v>
      </c>
      <c r="K27" s="40">
        <v>116.57</v>
      </c>
      <c r="L27" s="40">
        <f t="shared" si="2"/>
        <v>524.1099999999999</v>
      </c>
      <c r="M27" s="40">
        <f t="shared" si="3"/>
        <v>198.0200000000001</v>
      </c>
      <c r="N27" s="40">
        <v>137.66</v>
      </c>
      <c r="O27" s="40">
        <v>33.23</v>
      </c>
      <c r="P27" s="40">
        <f t="shared" si="4"/>
        <v>170.89</v>
      </c>
      <c r="Q27" s="40">
        <f t="shared" si="5"/>
        <v>27.13000000000011</v>
      </c>
      <c r="R27" s="40">
        <f t="shared" si="6"/>
        <v>86.29936370063625</v>
      </c>
    </row>
    <row r="28" spans="1:18" ht="14.25">
      <c r="A28" s="20">
        <v>16</v>
      </c>
      <c r="B28" s="85" t="s">
        <v>177</v>
      </c>
      <c r="C28" s="40">
        <f>363.79+151.21</f>
        <v>515</v>
      </c>
      <c r="D28" s="40">
        <v>9.63</v>
      </c>
      <c r="E28" s="40">
        <f t="shared" si="0"/>
        <v>524.63</v>
      </c>
      <c r="F28" s="40">
        <v>181.88</v>
      </c>
      <c r="G28" s="40">
        <v>48.88</v>
      </c>
      <c r="H28" s="40">
        <v>37.23</v>
      </c>
      <c r="I28" s="40">
        <f t="shared" si="1"/>
        <v>267.99</v>
      </c>
      <c r="J28" s="40">
        <v>9.45</v>
      </c>
      <c r="K28" s="40">
        <v>110.07</v>
      </c>
      <c r="L28" s="40">
        <f t="shared" si="2"/>
        <v>387.51</v>
      </c>
      <c r="M28" s="40">
        <f t="shared" si="3"/>
        <v>137.12</v>
      </c>
      <c r="N28" s="40">
        <v>105.05</v>
      </c>
      <c r="O28" s="40">
        <v>18.47</v>
      </c>
      <c r="P28" s="40">
        <f t="shared" si="4"/>
        <v>123.52</v>
      </c>
      <c r="Q28" s="40">
        <f t="shared" si="5"/>
        <v>13.600000000000009</v>
      </c>
      <c r="R28" s="40">
        <f t="shared" si="6"/>
        <v>90.08168028004667</v>
      </c>
    </row>
    <row r="29" spans="1:18" ht="14.25">
      <c r="A29" s="20">
        <v>17</v>
      </c>
      <c r="B29" s="85" t="s">
        <v>178</v>
      </c>
      <c r="C29" s="40">
        <f>221.76+159.25</f>
        <v>381.01</v>
      </c>
      <c r="D29" s="40">
        <v>12.46</v>
      </c>
      <c r="E29" s="40">
        <f t="shared" si="0"/>
        <v>393.46999999999997</v>
      </c>
      <c r="F29" s="40">
        <v>63.39</v>
      </c>
      <c r="G29" s="40">
        <v>129</v>
      </c>
      <c r="H29" s="40">
        <v>47.26</v>
      </c>
      <c r="I29" s="40">
        <f t="shared" si="1"/>
        <v>239.64999999999998</v>
      </c>
      <c r="J29" s="40">
        <v>0</v>
      </c>
      <c r="K29" s="40">
        <v>39.36</v>
      </c>
      <c r="L29" s="40">
        <f t="shared" si="2"/>
        <v>279.01</v>
      </c>
      <c r="M29" s="40">
        <f t="shared" si="3"/>
        <v>114.45999999999998</v>
      </c>
      <c r="N29" s="40">
        <v>79.29</v>
      </c>
      <c r="O29" s="40">
        <v>22.92</v>
      </c>
      <c r="P29" s="40">
        <f t="shared" si="4"/>
        <v>102.21000000000001</v>
      </c>
      <c r="Q29" s="40">
        <f t="shared" si="5"/>
        <v>12.249999999999972</v>
      </c>
      <c r="R29" s="40">
        <f t="shared" si="6"/>
        <v>89.29757120391405</v>
      </c>
    </row>
    <row r="30" spans="1:18" ht="14.25">
      <c r="A30" s="20">
        <v>18</v>
      </c>
      <c r="B30" s="85" t="s">
        <v>179</v>
      </c>
      <c r="C30" s="40">
        <f>245.07+107.17</f>
        <v>352.24</v>
      </c>
      <c r="D30" s="40">
        <v>131.85</v>
      </c>
      <c r="E30" s="40">
        <f t="shared" si="0"/>
        <v>484.09000000000003</v>
      </c>
      <c r="F30" s="40">
        <v>180.8</v>
      </c>
      <c r="G30" s="40">
        <v>84.93</v>
      </c>
      <c r="H30" s="40">
        <v>2.74</v>
      </c>
      <c r="I30" s="40">
        <f t="shared" si="1"/>
        <v>268.47</v>
      </c>
      <c r="J30" s="40">
        <v>11.68</v>
      </c>
      <c r="K30" s="40">
        <v>44.25</v>
      </c>
      <c r="L30" s="40">
        <f t="shared" si="2"/>
        <v>324.40000000000003</v>
      </c>
      <c r="M30" s="40">
        <f t="shared" si="3"/>
        <v>159.69</v>
      </c>
      <c r="N30" s="40">
        <v>46.25</v>
      </c>
      <c r="O30" s="40">
        <v>34.12</v>
      </c>
      <c r="P30" s="40">
        <f t="shared" si="4"/>
        <v>80.37</v>
      </c>
      <c r="Q30" s="40">
        <f t="shared" si="5"/>
        <v>79.32</v>
      </c>
      <c r="R30" s="40">
        <f t="shared" si="6"/>
        <v>50.32876197632914</v>
      </c>
    </row>
    <row r="31" spans="1:18" ht="14.25">
      <c r="A31" s="20">
        <v>19</v>
      </c>
      <c r="B31" s="85" t="s">
        <v>180</v>
      </c>
      <c r="C31" s="40">
        <f>781.53+1058.34</f>
        <v>1839.87</v>
      </c>
      <c r="D31" s="40">
        <v>322.27</v>
      </c>
      <c r="E31" s="40">
        <f t="shared" si="0"/>
        <v>2162.14</v>
      </c>
      <c r="F31" s="40">
        <v>760.92</v>
      </c>
      <c r="G31" s="40">
        <v>762.16</v>
      </c>
      <c r="H31" s="40">
        <v>12.02</v>
      </c>
      <c r="I31" s="40">
        <f t="shared" si="1"/>
        <v>1535.1</v>
      </c>
      <c r="J31" s="40">
        <v>0</v>
      </c>
      <c r="K31" s="40">
        <v>227.24</v>
      </c>
      <c r="L31" s="40">
        <f t="shared" si="2"/>
        <v>1762.34</v>
      </c>
      <c r="M31" s="40">
        <f t="shared" si="3"/>
        <v>399.79999999999995</v>
      </c>
      <c r="N31" s="40">
        <v>233.52</v>
      </c>
      <c r="O31" s="40">
        <v>107.53</v>
      </c>
      <c r="P31" s="40">
        <f t="shared" si="4"/>
        <v>341.05</v>
      </c>
      <c r="Q31" s="40">
        <f t="shared" si="5"/>
        <v>58.74999999999994</v>
      </c>
      <c r="R31" s="40">
        <f t="shared" si="6"/>
        <v>85.30515257628815</v>
      </c>
    </row>
    <row r="32" spans="1:18" ht="14.25">
      <c r="A32" s="20">
        <v>20</v>
      </c>
      <c r="B32" s="85" t="s">
        <v>181</v>
      </c>
      <c r="C32" s="40">
        <f>1948.34+1045.57</f>
        <v>2993.91</v>
      </c>
      <c r="D32" s="40">
        <v>11.83</v>
      </c>
      <c r="E32" s="40">
        <f t="shared" si="0"/>
        <v>3005.74</v>
      </c>
      <c r="F32" s="40">
        <v>395.91</v>
      </c>
      <c r="G32" s="40">
        <v>1775.31</v>
      </c>
      <c r="H32" s="40">
        <v>35</v>
      </c>
      <c r="I32" s="40">
        <f t="shared" si="1"/>
        <v>2206.22</v>
      </c>
      <c r="J32" s="40">
        <v>78.41</v>
      </c>
      <c r="K32" s="40">
        <v>301.8</v>
      </c>
      <c r="L32" s="40">
        <f t="shared" si="2"/>
        <v>2586.43</v>
      </c>
      <c r="M32" s="40">
        <f t="shared" si="3"/>
        <v>419.30999999999995</v>
      </c>
      <c r="N32" s="40">
        <v>340.27</v>
      </c>
      <c r="O32" s="40">
        <v>52.8</v>
      </c>
      <c r="P32" s="40">
        <f t="shared" si="4"/>
        <v>393.07</v>
      </c>
      <c r="Q32" s="40">
        <f t="shared" si="5"/>
        <v>26.239999999999952</v>
      </c>
      <c r="R32" s="40">
        <f t="shared" si="6"/>
        <v>93.74210011685867</v>
      </c>
    </row>
    <row r="33" spans="1:18" s="63" customFormat="1" ht="15">
      <c r="A33" s="21"/>
      <c r="B33" s="7" t="s">
        <v>35</v>
      </c>
      <c r="C33" s="41">
        <f>SUM(C27:C32)</f>
        <v>6804.16</v>
      </c>
      <c r="D33" s="41">
        <f>SUM(D27:D32)</f>
        <v>488.03999999999996</v>
      </c>
      <c r="E33" s="41">
        <f t="shared" si="0"/>
        <v>7292.2</v>
      </c>
      <c r="F33" s="41">
        <f>SUM(F27:F32)</f>
        <v>1867.3</v>
      </c>
      <c r="G33" s="41">
        <f>SUM(G27:G32)</f>
        <v>2891.8999999999996</v>
      </c>
      <c r="H33" s="41">
        <f>SUM(H27:H32)</f>
        <v>165.76999999999998</v>
      </c>
      <c r="I33" s="41">
        <f t="shared" si="1"/>
        <v>4924.969999999999</v>
      </c>
      <c r="J33" s="41">
        <f>SUM(J27:J32)</f>
        <v>99.53999999999999</v>
      </c>
      <c r="K33" s="41">
        <f>SUM(K27:K32)</f>
        <v>839.29</v>
      </c>
      <c r="L33" s="41">
        <f t="shared" si="2"/>
        <v>5863.799999999999</v>
      </c>
      <c r="M33" s="41">
        <f t="shared" si="3"/>
        <v>1428.4000000000005</v>
      </c>
      <c r="N33" s="41">
        <f>SUM(N27:N32)</f>
        <v>942.04</v>
      </c>
      <c r="O33" s="41">
        <f>SUM(O27:O32)</f>
        <v>269.07</v>
      </c>
      <c r="P33" s="41">
        <f t="shared" si="4"/>
        <v>1211.11</v>
      </c>
      <c r="Q33" s="41">
        <f t="shared" si="5"/>
        <v>217.29000000000065</v>
      </c>
      <c r="R33" s="41">
        <f t="shared" si="6"/>
        <v>84.78787454494535</v>
      </c>
    </row>
    <row r="34" spans="1:18" ht="15">
      <c r="A34" s="20"/>
      <c r="B34" s="86" t="s">
        <v>182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14.25">
      <c r="A35" s="20">
        <v>21</v>
      </c>
      <c r="B35" s="85" t="s">
        <v>183</v>
      </c>
      <c r="C35" s="40">
        <f>948.32+201.68</f>
        <v>1150</v>
      </c>
      <c r="D35" s="40">
        <v>3.74</v>
      </c>
      <c r="E35" s="40">
        <f t="shared" si="0"/>
        <v>1153.74</v>
      </c>
      <c r="F35" s="40">
        <v>240.14</v>
      </c>
      <c r="G35" s="40">
        <v>363.96</v>
      </c>
      <c r="H35" s="40">
        <v>233.16</v>
      </c>
      <c r="I35" s="40">
        <f t="shared" si="1"/>
        <v>837.2599999999999</v>
      </c>
      <c r="J35" s="40">
        <v>0</v>
      </c>
      <c r="K35" s="40">
        <v>122.81</v>
      </c>
      <c r="L35" s="40">
        <v>960.08</v>
      </c>
      <c r="M35" s="40">
        <f t="shared" si="3"/>
        <v>193.65999999999997</v>
      </c>
      <c r="N35" s="40">
        <v>132.28</v>
      </c>
      <c r="O35" s="40">
        <v>28.33</v>
      </c>
      <c r="P35" s="40">
        <f t="shared" si="4"/>
        <v>160.61</v>
      </c>
      <c r="Q35" s="40">
        <f t="shared" si="5"/>
        <v>33.049999999999955</v>
      </c>
      <c r="R35" s="40">
        <f t="shared" si="6"/>
        <v>82.93400805535477</v>
      </c>
    </row>
    <row r="36" spans="1:18" ht="14.25">
      <c r="A36" s="20">
        <v>22</v>
      </c>
      <c r="B36" s="85" t="s">
        <v>184</v>
      </c>
      <c r="C36" s="40">
        <f>169.38+289.54</f>
        <v>458.92</v>
      </c>
      <c r="D36" s="40">
        <v>48.35</v>
      </c>
      <c r="E36" s="40">
        <f t="shared" si="0"/>
        <v>507.27000000000004</v>
      </c>
      <c r="F36" s="40">
        <v>43.85</v>
      </c>
      <c r="G36" s="40">
        <v>67.04</v>
      </c>
      <c r="H36" s="40">
        <v>38.54</v>
      </c>
      <c r="I36" s="40">
        <f t="shared" si="1"/>
        <v>149.43</v>
      </c>
      <c r="J36" s="40">
        <v>0</v>
      </c>
      <c r="K36" s="40">
        <v>169.7</v>
      </c>
      <c r="L36" s="40">
        <f t="shared" si="2"/>
        <v>319.13</v>
      </c>
      <c r="M36" s="40">
        <f t="shared" si="3"/>
        <v>188.14000000000004</v>
      </c>
      <c r="N36" s="40">
        <v>121.52</v>
      </c>
      <c r="O36" s="40">
        <v>57.29</v>
      </c>
      <c r="P36" s="40">
        <f t="shared" si="4"/>
        <v>178.81</v>
      </c>
      <c r="Q36" s="40">
        <f t="shared" si="5"/>
        <v>9.330000000000041</v>
      </c>
      <c r="R36" s="40">
        <f t="shared" si="6"/>
        <v>95.04092696927817</v>
      </c>
    </row>
    <row r="37" spans="1:18" ht="14.25">
      <c r="A37" s="20">
        <v>23</v>
      </c>
      <c r="B37" s="85" t="s">
        <v>185</v>
      </c>
      <c r="C37" s="40">
        <f>2871.67+368.5</f>
        <v>3240.17</v>
      </c>
      <c r="D37" s="40">
        <v>234.99</v>
      </c>
      <c r="E37" s="40">
        <f t="shared" si="0"/>
        <v>3475.16</v>
      </c>
      <c r="F37" s="40">
        <v>74.8</v>
      </c>
      <c r="G37" s="40">
        <v>958.66</v>
      </c>
      <c r="H37" s="40">
        <v>222.71</v>
      </c>
      <c r="I37" s="40">
        <f t="shared" si="1"/>
        <v>1256.17</v>
      </c>
      <c r="J37" s="40">
        <v>957.37</v>
      </c>
      <c r="K37" s="40">
        <v>606.91</v>
      </c>
      <c r="L37" s="40">
        <f t="shared" si="2"/>
        <v>2820.45</v>
      </c>
      <c r="M37" s="40">
        <f t="shared" si="3"/>
        <v>654.71</v>
      </c>
      <c r="N37" s="40">
        <v>310.64</v>
      </c>
      <c r="O37" s="40">
        <v>290.01</v>
      </c>
      <c r="P37" s="40">
        <f t="shared" si="4"/>
        <v>600.65</v>
      </c>
      <c r="Q37" s="40">
        <f t="shared" si="5"/>
        <v>54.06000000000006</v>
      </c>
      <c r="R37" s="40">
        <f t="shared" si="6"/>
        <v>91.7429090742466</v>
      </c>
    </row>
    <row r="38" spans="1:18" ht="14.25">
      <c r="A38" s="20">
        <v>24</v>
      </c>
      <c r="B38" s="85" t="s">
        <v>186</v>
      </c>
      <c r="C38" s="40">
        <f>2231.05+1002.94</f>
        <v>3233.9900000000002</v>
      </c>
      <c r="D38" s="40">
        <v>47.59</v>
      </c>
      <c r="E38" s="40">
        <f t="shared" si="0"/>
        <v>3281.5800000000004</v>
      </c>
      <c r="F38" s="40">
        <v>299.74</v>
      </c>
      <c r="G38" s="40">
        <v>288.04</v>
      </c>
      <c r="H38" s="40">
        <v>1672.32</v>
      </c>
      <c r="I38" s="40">
        <f t="shared" si="1"/>
        <v>2260.1</v>
      </c>
      <c r="J38" s="40">
        <v>0</v>
      </c>
      <c r="K38" s="40">
        <v>637.07</v>
      </c>
      <c r="L38" s="40">
        <f t="shared" si="2"/>
        <v>2897.17</v>
      </c>
      <c r="M38" s="40">
        <f t="shared" si="3"/>
        <v>384.4100000000003</v>
      </c>
      <c r="N38" s="40">
        <v>261.52</v>
      </c>
      <c r="O38" s="40">
        <v>59.32</v>
      </c>
      <c r="P38" s="40">
        <f t="shared" si="4"/>
        <v>320.84</v>
      </c>
      <c r="Q38" s="40">
        <f t="shared" si="5"/>
        <v>63.570000000000334</v>
      </c>
      <c r="R38" s="40">
        <f t="shared" si="6"/>
        <v>83.46296922556637</v>
      </c>
    </row>
    <row r="39" spans="1:18" ht="14.25">
      <c r="A39" s="20">
        <v>25</v>
      </c>
      <c r="B39" s="85" t="s">
        <v>187</v>
      </c>
      <c r="C39" s="40">
        <f>626.72+190.71</f>
        <v>817.4300000000001</v>
      </c>
      <c r="D39" s="40">
        <v>20.76</v>
      </c>
      <c r="E39" s="40">
        <f t="shared" si="0"/>
        <v>838.19</v>
      </c>
      <c r="F39" s="40">
        <v>163.28</v>
      </c>
      <c r="G39" s="40">
        <v>191.22</v>
      </c>
      <c r="H39" s="40">
        <v>150.23</v>
      </c>
      <c r="I39" s="40">
        <f t="shared" si="1"/>
        <v>504.73</v>
      </c>
      <c r="J39" s="40">
        <v>1.37</v>
      </c>
      <c r="K39" s="40">
        <v>113.58</v>
      </c>
      <c r="L39" s="40">
        <f t="shared" si="2"/>
        <v>619.6800000000001</v>
      </c>
      <c r="M39" s="40">
        <f t="shared" si="3"/>
        <v>218.51</v>
      </c>
      <c r="N39" s="40">
        <v>164.02</v>
      </c>
      <c r="O39" s="40">
        <v>31.28</v>
      </c>
      <c r="P39" s="40">
        <f t="shared" si="4"/>
        <v>195.3</v>
      </c>
      <c r="Q39" s="40">
        <f t="shared" si="5"/>
        <v>23.20999999999998</v>
      </c>
      <c r="R39" s="40">
        <f t="shared" si="6"/>
        <v>89.3780605006636</v>
      </c>
    </row>
    <row r="40" spans="1:18" s="63" customFormat="1" ht="15">
      <c r="A40" s="21"/>
      <c r="B40" s="7" t="s">
        <v>35</v>
      </c>
      <c r="C40" s="41">
        <f>SUM(C35:C39)</f>
        <v>8900.51</v>
      </c>
      <c r="D40" s="41">
        <f>SUM(D35:D39)</f>
        <v>355.43000000000006</v>
      </c>
      <c r="E40" s="41">
        <f t="shared" si="0"/>
        <v>9255.94</v>
      </c>
      <c r="F40" s="41">
        <f>SUM(F35:F39)</f>
        <v>821.81</v>
      </c>
      <c r="G40" s="41">
        <f>SUM(G35:G39)</f>
        <v>1868.9199999999998</v>
      </c>
      <c r="H40" s="41">
        <f>SUM(H35:H39)</f>
        <v>2316.96</v>
      </c>
      <c r="I40" s="41">
        <f t="shared" si="1"/>
        <v>5007.69</v>
      </c>
      <c r="J40" s="41">
        <f>SUM(J35:J39)</f>
        <v>958.74</v>
      </c>
      <c r="K40" s="41">
        <f>SUM(K35:K39)</f>
        <v>1650.07</v>
      </c>
      <c r="L40" s="41">
        <f t="shared" si="2"/>
        <v>7616.499999999999</v>
      </c>
      <c r="M40" s="41">
        <f t="shared" si="3"/>
        <v>1639.4400000000014</v>
      </c>
      <c r="N40" s="41">
        <f>SUM(N35:N39)</f>
        <v>989.98</v>
      </c>
      <c r="O40" s="41">
        <f>SUM(O35:O39)</f>
        <v>466.23</v>
      </c>
      <c r="P40" s="41">
        <f t="shared" si="4"/>
        <v>1456.21</v>
      </c>
      <c r="Q40" s="41">
        <f t="shared" si="5"/>
        <v>183.23000000000138</v>
      </c>
      <c r="R40" s="41">
        <f t="shared" si="6"/>
        <v>88.82362270043423</v>
      </c>
    </row>
    <row r="41" spans="1:18" ht="15">
      <c r="A41" s="20"/>
      <c r="B41" s="86" t="s">
        <v>188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14.25">
      <c r="A42" s="20">
        <v>26</v>
      </c>
      <c r="B42" s="85" t="s">
        <v>189</v>
      </c>
      <c r="C42" s="40">
        <f>455.33+939.96</f>
        <v>1395.29</v>
      </c>
      <c r="D42" s="40">
        <v>0.61</v>
      </c>
      <c r="E42" s="40">
        <f t="shared" si="0"/>
        <v>1395.8999999999999</v>
      </c>
      <c r="F42" s="40">
        <v>413.3</v>
      </c>
      <c r="G42" s="40">
        <v>187.29</v>
      </c>
      <c r="H42" s="40">
        <v>70.93</v>
      </c>
      <c r="I42" s="40">
        <f t="shared" si="1"/>
        <v>671.52</v>
      </c>
      <c r="J42" s="40">
        <v>77.84</v>
      </c>
      <c r="K42" s="40">
        <v>422.88</v>
      </c>
      <c r="L42" s="40">
        <f t="shared" si="2"/>
        <v>1172.24</v>
      </c>
      <c r="M42" s="40">
        <f t="shared" si="3"/>
        <v>223.65999999999985</v>
      </c>
      <c r="N42" s="40">
        <v>148.66</v>
      </c>
      <c r="O42" s="40">
        <v>12.94</v>
      </c>
      <c r="P42" s="40">
        <f t="shared" si="4"/>
        <v>161.6</v>
      </c>
      <c r="Q42" s="40">
        <f t="shared" si="5"/>
        <v>62.05999999999986</v>
      </c>
      <c r="R42" s="40">
        <f t="shared" si="6"/>
        <v>72.2525261557722</v>
      </c>
    </row>
    <row r="43" spans="1:18" ht="14.25">
      <c r="A43" s="20">
        <v>27</v>
      </c>
      <c r="B43" s="85" t="s">
        <v>190</v>
      </c>
      <c r="C43" s="40">
        <f>138.82+306.22</f>
        <v>445.04</v>
      </c>
      <c r="D43" s="40">
        <v>72.26</v>
      </c>
      <c r="E43" s="40">
        <f t="shared" si="0"/>
        <v>517.3000000000001</v>
      </c>
      <c r="F43" s="40">
        <v>75.01</v>
      </c>
      <c r="G43" s="40">
        <v>201.11</v>
      </c>
      <c r="H43" s="40">
        <v>0</v>
      </c>
      <c r="I43" s="40">
        <f t="shared" si="1"/>
        <v>276.12</v>
      </c>
      <c r="J43" s="40">
        <v>0</v>
      </c>
      <c r="K43" s="40">
        <v>72.66</v>
      </c>
      <c r="L43" s="40">
        <f t="shared" si="2"/>
        <v>348.78</v>
      </c>
      <c r="M43" s="40">
        <f t="shared" si="3"/>
        <v>168.5200000000001</v>
      </c>
      <c r="N43" s="40">
        <v>83.1</v>
      </c>
      <c r="O43" s="40">
        <v>81.24</v>
      </c>
      <c r="P43" s="40">
        <f t="shared" si="4"/>
        <v>164.33999999999997</v>
      </c>
      <c r="Q43" s="40">
        <f t="shared" si="5"/>
        <v>4.1800000000001205</v>
      </c>
      <c r="R43" s="40">
        <f t="shared" si="6"/>
        <v>97.51958224543074</v>
      </c>
    </row>
    <row r="44" spans="1:18" ht="14.25">
      <c r="A44" s="20">
        <v>28</v>
      </c>
      <c r="B44" s="85" t="s">
        <v>191</v>
      </c>
      <c r="C44" s="40">
        <f>280.41+53.06</f>
        <v>333.47</v>
      </c>
      <c r="D44" s="40">
        <v>10.22</v>
      </c>
      <c r="E44" s="40">
        <f t="shared" si="0"/>
        <v>343.69000000000005</v>
      </c>
      <c r="F44" s="40">
        <v>214.41</v>
      </c>
      <c r="G44" s="40">
        <v>38.68</v>
      </c>
      <c r="H44" s="40">
        <v>0</v>
      </c>
      <c r="I44" s="40">
        <f t="shared" si="1"/>
        <v>253.09</v>
      </c>
      <c r="J44" s="40">
        <v>0</v>
      </c>
      <c r="K44" s="40">
        <v>26.82</v>
      </c>
      <c r="L44" s="40">
        <f t="shared" si="2"/>
        <v>279.91</v>
      </c>
      <c r="M44" s="40">
        <f t="shared" si="3"/>
        <v>63.78000000000003</v>
      </c>
      <c r="N44" s="40">
        <v>15.96</v>
      </c>
      <c r="O44" s="40">
        <v>10.88</v>
      </c>
      <c r="P44" s="40">
        <f t="shared" si="4"/>
        <v>26.840000000000003</v>
      </c>
      <c r="Q44" s="40">
        <f t="shared" si="5"/>
        <v>36.940000000000026</v>
      </c>
      <c r="R44" s="40">
        <f t="shared" si="6"/>
        <v>42.082157416117894</v>
      </c>
    </row>
    <row r="45" spans="1:18" ht="14.25">
      <c r="A45" s="20">
        <v>29</v>
      </c>
      <c r="B45" s="85" t="s">
        <v>192</v>
      </c>
      <c r="C45" s="40">
        <f>2582.08+1105.81</f>
        <v>3687.89</v>
      </c>
      <c r="D45" s="40">
        <v>0</v>
      </c>
      <c r="E45" s="40">
        <f t="shared" si="0"/>
        <v>3687.89</v>
      </c>
      <c r="F45" s="40">
        <v>2578.16</v>
      </c>
      <c r="G45" s="40">
        <v>66.31</v>
      </c>
      <c r="H45" s="40">
        <v>2.95</v>
      </c>
      <c r="I45" s="40">
        <f t="shared" si="1"/>
        <v>2647.4199999999996</v>
      </c>
      <c r="J45" s="40">
        <v>759.09</v>
      </c>
      <c r="K45" s="40">
        <v>136.19</v>
      </c>
      <c r="L45" s="40">
        <f t="shared" si="2"/>
        <v>3542.7</v>
      </c>
      <c r="M45" s="40">
        <f t="shared" si="3"/>
        <v>145.19000000000005</v>
      </c>
      <c r="N45" s="40">
        <v>86.07</v>
      </c>
      <c r="O45" s="40">
        <v>42.51</v>
      </c>
      <c r="P45" s="40">
        <f t="shared" si="4"/>
        <v>128.57999999999998</v>
      </c>
      <c r="Q45" s="40">
        <f t="shared" si="5"/>
        <v>16.61000000000007</v>
      </c>
      <c r="R45" s="40">
        <f t="shared" si="6"/>
        <v>88.55981816929535</v>
      </c>
    </row>
    <row r="46" spans="1:18" s="63" customFormat="1" ht="15">
      <c r="A46" s="21"/>
      <c r="B46" s="7" t="s">
        <v>35</v>
      </c>
      <c r="C46" s="41">
        <f>SUM(C42:C45)</f>
        <v>5861.6900000000005</v>
      </c>
      <c r="D46" s="41">
        <f>SUM(D42:D45)</f>
        <v>83.09</v>
      </c>
      <c r="E46" s="41">
        <f t="shared" si="0"/>
        <v>5944.780000000001</v>
      </c>
      <c r="F46" s="41">
        <f>SUM(F42:F45)</f>
        <v>3280.88</v>
      </c>
      <c r="G46" s="41">
        <f>SUM(G42:G45)</f>
        <v>493.39</v>
      </c>
      <c r="H46" s="41">
        <f>SUM(H42:H45)</f>
        <v>73.88000000000001</v>
      </c>
      <c r="I46" s="41">
        <f t="shared" si="1"/>
        <v>3848.15</v>
      </c>
      <c r="J46" s="41">
        <f>SUM(J42:J45)</f>
        <v>836.9300000000001</v>
      </c>
      <c r="K46" s="41">
        <f>SUM(K42:K45)</f>
        <v>658.55</v>
      </c>
      <c r="L46" s="41">
        <f t="shared" si="2"/>
        <v>5343.63</v>
      </c>
      <c r="M46" s="41">
        <f t="shared" si="3"/>
        <v>601.1500000000005</v>
      </c>
      <c r="N46" s="41">
        <f>SUM(N42:N45)</f>
        <v>333.78999999999996</v>
      </c>
      <c r="O46" s="41">
        <f>SUM(O42:O45)</f>
        <v>147.57</v>
      </c>
      <c r="P46" s="41">
        <f t="shared" si="4"/>
        <v>481.35999999999996</v>
      </c>
      <c r="Q46" s="41">
        <f t="shared" si="5"/>
        <v>119.79000000000059</v>
      </c>
      <c r="R46" s="41">
        <f t="shared" si="6"/>
        <v>80.07319304666048</v>
      </c>
    </row>
    <row r="47" spans="1:18" ht="15">
      <c r="A47" s="20"/>
      <c r="B47" s="86" t="s">
        <v>193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ht="14.25">
      <c r="A48" s="20">
        <v>30</v>
      </c>
      <c r="B48" s="85" t="s">
        <v>194</v>
      </c>
      <c r="C48" s="40">
        <f>370.96+121.11</f>
        <v>492.07</v>
      </c>
      <c r="D48" s="40">
        <v>115.99</v>
      </c>
      <c r="E48" s="40">
        <f t="shared" si="0"/>
        <v>608.06</v>
      </c>
      <c r="F48" s="40">
        <v>128.47</v>
      </c>
      <c r="G48" s="40">
        <v>155.41</v>
      </c>
      <c r="H48" s="40">
        <v>28.35</v>
      </c>
      <c r="I48" s="40">
        <f t="shared" si="1"/>
        <v>312.23</v>
      </c>
      <c r="J48" s="40">
        <v>69.82</v>
      </c>
      <c r="K48" s="40">
        <v>24.47</v>
      </c>
      <c r="L48" s="40">
        <f t="shared" si="2"/>
        <v>406.52</v>
      </c>
      <c r="M48" s="40">
        <f t="shared" si="3"/>
        <v>201.53999999999996</v>
      </c>
      <c r="N48" s="40">
        <v>79.24</v>
      </c>
      <c r="O48" s="40">
        <v>28.87</v>
      </c>
      <c r="P48" s="40">
        <f t="shared" si="4"/>
        <v>108.11</v>
      </c>
      <c r="Q48" s="40">
        <f t="shared" si="5"/>
        <v>93.42999999999996</v>
      </c>
      <c r="R48" s="40">
        <f t="shared" si="6"/>
        <v>53.64195693162649</v>
      </c>
    </row>
    <row r="49" spans="1:18" ht="14.25">
      <c r="A49" s="20">
        <v>31</v>
      </c>
      <c r="B49" s="85" t="s">
        <v>195</v>
      </c>
      <c r="C49" s="40">
        <f>3312.8+962.85</f>
        <v>4275.650000000001</v>
      </c>
      <c r="D49" s="40">
        <v>77.69</v>
      </c>
      <c r="E49" s="40">
        <f t="shared" si="0"/>
        <v>4353.34</v>
      </c>
      <c r="F49" s="40">
        <v>1135.47</v>
      </c>
      <c r="G49" s="40">
        <v>92.34</v>
      </c>
      <c r="H49" s="40">
        <v>39.7</v>
      </c>
      <c r="I49" s="40">
        <f t="shared" si="1"/>
        <v>1267.51</v>
      </c>
      <c r="J49" s="40">
        <v>39.61</v>
      </c>
      <c r="K49" s="40">
        <v>2224.88</v>
      </c>
      <c r="L49" s="40">
        <f t="shared" si="2"/>
        <v>3532</v>
      </c>
      <c r="M49" s="40">
        <f t="shared" si="3"/>
        <v>821.3400000000001</v>
      </c>
      <c r="N49" s="40">
        <v>123.97</v>
      </c>
      <c r="O49" s="40">
        <v>58.56</v>
      </c>
      <c r="P49" s="40">
        <f t="shared" si="4"/>
        <v>182.53</v>
      </c>
      <c r="Q49" s="40">
        <f t="shared" si="5"/>
        <v>638.8100000000002</v>
      </c>
      <c r="R49" s="40">
        <f t="shared" si="6"/>
        <v>22.223439744807262</v>
      </c>
    </row>
    <row r="50" spans="1:18" ht="14.25">
      <c r="A50" s="20">
        <v>32</v>
      </c>
      <c r="B50" s="85" t="s">
        <v>196</v>
      </c>
      <c r="C50" s="40">
        <f>4208.14+792.38</f>
        <v>5000.52</v>
      </c>
      <c r="D50" s="40">
        <v>30.72</v>
      </c>
      <c r="E50" s="40">
        <f t="shared" si="0"/>
        <v>5031.240000000001</v>
      </c>
      <c r="F50" s="40">
        <v>461.21</v>
      </c>
      <c r="G50" s="40">
        <v>2928.99</v>
      </c>
      <c r="H50" s="40">
        <v>488.12</v>
      </c>
      <c r="I50" s="40">
        <f t="shared" si="1"/>
        <v>3878.3199999999997</v>
      </c>
      <c r="J50" s="40">
        <v>9.52</v>
      </c>
      <c r="K50" s="40">
        <v>767.5</v>
      </c>
      <c r="L50" s="40">
        <f t="shared" si="2"/>
        <v>4655.34</v>
      </c>
      <c r="M50" s="40">
        <f t="shared" si="3"/>
        <v>375.90000000000055</v>
      </c>
      <c r="N50" s="40">
        <v>165.31</v>
      </c>
      <c r="O50" s="40">
        <v>41.46</v>
      </c>
      <c r="P50" s="40">
        <f t="shared" si="4"/>
        <v>206.77</v>
      </c>
      <c r="Q50" s="40">
        <f t="shared" si="5"/>
        <v>169.13000000000054</v>
      </c>
      <c r="R50" s="40">
        <f t="shared" si="6"/>
        <v>55.006650704974646</v>
      </c>
    </row>
    <row r="51" spans="1:18" ht="14.25">
      <c r="A51" s="20">
        <v>33</v>
      </c>
      <c r="B51" s="85" t="s">
        <v>197</v>
      </c>
      <c r="C51" s="40">
        <f>3297.02+4684.56</f>
        <v>7981.58</v>
      </c>
      <c r="D51" s="40">
        <v>106.81</v>
      </c>
      <c r="E51" s="40">
        <f t="shared" si="0"/>
        <v>8088.39</v>
      </c>
      <c r="F51" s="40">
        <v>1191.57</v>
      </c>
      <c r="G51" s="40">
        <v>1268.38</v>
      </c>
      <c r="H51" s="40">
        <v>311.46</v>
      </c>
      <c r="I51" s="40">
        <f t="shared" si="1"/>
        <v>2771.41</v>
      </c>
      <c r="J51" s="40">
        <v>1.99</v>
      </c>
      <c r="K51" s="40">
        <v>4681.19</v>
      </c>
      <c r="L51" s="40">
        <f t="shared" si="2"/>
        <v>7454.589999999999</v>
      </c>
      <c r="M51" s="40">
        <f t="shared" si="3"/>
        <v>633.8000000000011</v>
      </c>
      <c r="N51" s="40">
        <v>342.37</v>
      </c>
      <c r="O51" s="40">
        <v>46.6</v>
      </c>
      <c r="P51" s="40">
        <f t="shared" si="4"/>
        <v>388.97</v>
      </c>
      <c r="Q51" s="40">
        <f t="shared" si="5"/>
        <v>244.83000000000106</v>
      </c>
      <c r="R51" s="40">
        <f t="shared" si="6"/>
        <v>61.37109498264427</v>
      </c>
    </row>
    <row r="52" spans="1:18" ht="14.25">
      <c r="A52" s="20">
        <v>34</v>
      </c>
      <c r="B52" s="85" t="s">
        <v>198</v>
      </c>
      <c r="C52" s="40">
        <f>27520.1+4605.47</f>
        <v>32125.57</v>
      </c>
      <c r="D52" s="40">
        <v>188.81</v>
      </c>
      <c r="E52" s="40">
        <f t="shared" si="0"/>
        <v>32314.38</v>
      </c>
      <c r="F52" s="40">
        <v>16561.13</v>
      </c>
      <c r="G52" s="40">
        <v>1431.46</v>
      </c>
      <c r="H52" s="40">
        <v>8199.35</v>
      </c>
      <c r="I52" s="40">
        <f t="shared" si="1"/>
        <v>26191.940000000002</v>
      </c>
      <c r="J52" s="40">
        <v>0</v>
      </c>
      <c r="K52" s="40">
        <v>1493.7</v>
      </c>
      <c r="L52" s="40">
        <f t="shared" si="2"/>
        <v>27685.640000000003</v>
      </c>
      <c r="M52" s="40">
        <f t="shared" si="3"/>
        <v>4628.739999999998</v>
      </c>
      <c r="N52" s="40">
        <v>2664.37</v>
      </c>
      <c r="O52" s="40">
        <v>264.75</v>
      </c>
      <c r="P52" s="40">
        <f t="shared" si="4"/>
        <v>2929.12</v>
      </c>
      <c r="Q52" s="40">
        <f t="shared" si="5"/>
        <v>1699.619999999998</v>
      </c>
      <c r="R52" s="40">
        <f t="shared" si="6"/>
        <v>63.281152106188756</v>
      </c>
    </row>
    <row r="53" spans="1:18" ht="14.25">
      <c r="A53" s="20">
        <v>35</v>
      </c>
      <c r="B53" s="85" t="s">
        <v>199</v>
      </c>
      <c r="C53" s="40">
        <f>5247.89+515.6</f>
        <v>5763.490000000001</v>
      </c>
      <c r="D53" s="40">
        <v>70.91</v>
      </c>
      <c r="E53" s="40">
        <f t="shared" si="0"/>
        <v>5834.400000000001</v>
      </c>
      <c r="F53" s="40">
        <v>1408.52</v>
      </c>
      <c r="G53" s="40">
        <v>29.66</v>
      </c>
      <c r="H53" s="40">
        <v>771.09</v>
      </c>
      <c r="I53" s="40">
        <f t="shared" si="1"/>
        <v>2209.27</v>
      </c>
      <c r="J53" s="40">
        <v>0</v>
      </c>
      <c r="K53" s="40">
        <v>2062.54</v>
      </c>
      <c r="L53" s="40">
        <f t="shared" si="2"/>
        <v>4271.8099999999995</v>
      </c>
      <c r="M53" s="40">
        <f t="shared" si="3"/>
        <v>1562.590000000001</v>
      </c>
      <c r="N53" s="40">
        <v>416.15</v>
      </c>
      <c r="O53" s="40">
        <v>312.43</v>
      </c>
      <c r="P53" s="40">
        <f t="shared" si="4"/>
        <v>728.5799999999999</v>
      </c>
      <c r="Q53" s="40">
        <f t="shared" si="5"/>
        <v>834.0100000000011</v>
      </c>
      <c r="R53" s="40">
        <f t="shared" si="6"/>
        <v>46.62643431738328</v>
      </c>
    </row>
    <row r="54" spans="1:18" ht="14.25">
      <c r="A54" s="20">
        <v>36</v>
      </c>
      <c r="B54" s="85" t="s">
        <v>200</v>
      </c>
      <c r="C54" s="40">
        <f>1023.57+330.51</f>
        <v>1354.08</v>
      </c>
      <c r="D54" s="40">
        <v>70.02</v>
      </c>
      <c r="E54" s="40">
        <f t="shared" si="0"/>
        <v>1424.1</v>
      </c>
      <c r="F54" s="40">
        <v>94.12</v>
      </c>
      <c r="G54" s="40">
        <v>155.42</v>
      </c>
      <c r="H54" s="40">
        <v>575.87</v>
      </c>
      <c r="I54" s="40">
        <f t="shared" si="1"/>
        <v>825.41</v>
      </c>
      <c r="J54" s="40">
        <v>0</v>
      </c>
      <c r="K54" s="40">
        <v>350.21</v>
      </c>
      <c r="L54" s="40">
        <f t="shared" si="2"/>
        <v>1175.62</v>
      </c>
      <c r="M54" s="40">
        <f t="shared" si="3"/>
        <v>248.48000000000002</v>
      </c>
      <c r="N54" s="40">
        <v>127.21</v>
      </c>
      <c r="O54" s="40">
        <v>45.88</v>
      </c>
      <c r="P54" s="40">
        <f t="shared" si="4"/>
        <v>173.09</v>
      </c>
      <c r="Q54" s="40">
        <f t="shared" si="5"/>
        <v>75.39000000000001</v>
      </c>
      <c r="R54" s="40">
        <f t="shared" si="6"/>
        <v>69.65952994204766</v>
      </c>
    </row>
    <row r="55" spans="1:18" s="63" customFormat="1" ht="15">
      <c r="A55" s="21"/>
      <c r="B55" s="7" t="s">
        <v>35</v>
      </c>
      <c r="C55" s="41">
        <f>SUM(C48:C54)</f>
        <v>56992.96</v>
      </c>
      <c r="D55" s="41">
        <f>SUM(D48:D54)</f>
        <v>660.9499999999999</v>
      </c>
      <c r="E55" s="41">
        <f t="shared" si="0"/>
        <v>57653.909999999996</v>
      </c>
      <c r="F55" s="41">
        <f>SUM(F48:F54)</f>
        <v>20980.49</v>
      </c>
      <c r="G55" s="41">
        <f>SUM(G48:G54)</f>
        <v>6061.66</v>
      </c>
      <c r="H55" s="41">
        <f>SUM(H48:H54)</f>
        <v>10413.94</v>
      </c>
      <c r="I55" s="41">
        <f t="shared" si="1"/>
        <v>37456.090000000004</v>
      </c>
      <c r="J55" s="41">
        <f>SUM(J48:J54)</f>
        <v>120.93999999999998</v>
      </c>
      <c r="K55" s="41">
        <f>SUM(K48:K54)</f>
        <v>11604.489999999998</v>
      </c>
      <c r="L55" s="41">
        <f t="shared" si="2"/>
        <v>49181.520000000004</v>
      </c>
      <c r="M55" s="41">
        <f t="shared" si="3"/>
        <v>8472.389999999992</v>
      </c>
      <c r="N55" s="41">
        <f>SUM(N48:N54)</f>
        <v>3918.62</v>
      </c>
      <c r="O55" s="41">
        <f>SUM(O48:O54)</f>
        <v>798.5500000000001</v>
      </c>
      <c r="P55" s="41">
        <f t="shared" si="4"/>
        <v>4717.17</v>
      </c>
      <c r="Q55" s="41">
        <f t="shared" si="5"/>
        <v>3755.219999999992</v>
      </c>
      <c r="R55" s="41">
        <f t="shared" si="6"/>
        <v>55.676969544603175</v>
      </c>
    </row>
    <row r="56" spans="1:18" ht="15">
      <c r="A56" s="20"/>
      <c r="B56" s="86" t="s">
        <v>201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 ht="14.25">
      <c r="A57" s="20">
        <v>37</v>
      </c>
      <c r="B57" s="85" t="s">
        <v>202</v>
      </c>
      <c r="C57" s="40">
        <f>2043.97+432.14</f>
        <v>2476.11</v>
      </c>
      <c r="D57" s="40">
        <v>165.89</v>
      </c>
      <c r="E57" s="40">
        <f t="shared" si="0"/>
        <v>2642</v>
      </c>
      <c r="F57" s="40">
        <v>792.01</v>
      </c>
      <c r="G57" s="40">
        <v>437.49</v>
      </c>
      <c r="H57" s="40">
        <v>9.04</v>
      </c>
      <c r="I57" s="40">
        <f t="shared" si="1"/>
        <v>1238.54</v>
      </c>
      <c r="J57" s="40">
        <v>4.04</v>
      </c>
      <c r="K57" s="40">
        <v>1226.91</v>
      </c>
      <c r="L57" s="40">
        <f t="shared" si="2"/>
        <v>2469.49</v>
      </c>
      <c r="M57" s="40">
        <f t="shared" si="3"/>
        <v>172.51000000000022</v>
      </c>
      <c r="N57" s="40">
        <v>132.14</v>
      </c>
      <c r="O57" s="40">
        <v>23.94</v>
      </c>
      <c r="P57" s="40">
        <f t="shared" si="4"/>
        <v>156.07999999999998</v>
      </c>
      <c r="Q57" s="40">
        <f t="shared" si="5"/>
        <v>16.430000000000234</v>
      </c>
      <c r="R57" s="40">
        <f t="shared" si="6"/>
        <v>90.4759144397425</v>
      </c>
    </row>
    <row r="58" spans="1:18" ht="14.25">
      <c r="A58" s="20">
        <v>38</v>
      </c>
      <c r="B58" s="85" t="s">
        <v>203</v>
      </c>
      <c r="C58" s="40">
        <f>1979.76+875.53</f>
        <v>2855.29</v>
      </c>
      <c r="D58" s="40">
        <v>106.41</v>
      </c>
      <c r="E58" s="40">
        <f t="shared" si="0"/>
        <v>2961.7</v>
      </c>
      <c r="F58" s="40">
        <v>370.6</v>
      </c>
      <c r="G58" s="40">
        <v>236.75</v>
      </c>
      <c r="H58" s="40">
        <v>512.31</v>
      </c>
      <c r="I58" s="40">
        <f t="shared" si="1"/>
        <v>1119.6599999999999</v>
      </c>
      <c r="J58" s="40">
        <v>57.03</v>
      </c>
      <c r="K58" s="40">
        <v>746.25</v>
      </c>
      <c r="L58" s="40">
        <f t="shared" si="2"/>
        <v>1922.9399999999998</v>
      </c>
      <c r="M58" s="40">
        <f t="shared" si="3"/>
        <v>1038.76</v>
      </c>
      <c r="N58" s="40">
        <v>594.89</v>
      </c>
      <c r="O58" s="40">
        <v>52.22</v>
      </c>
      <c r="P58" s="40">
        <f t="shared" si="4"/>
        <v>647.11</v>
      </c>
      <c r="Q58" s="40">
        <f t="shared" si="5"/>
        <v>391.65</v>
      </c>
      <c r="R58" s="40">
        <f t="shared" si="6"/>
        <v>62.29639185182333</v>
      </c>
    </row>
    <row r="59" spans="1:18" s="67" customFormat="1" ht="14.25">
      <c r="A59" s="24">
        <v>39</v>
      </c>
      <c r="B59" s="3" t="s">
        <v>204</v>
      </c>
      <c r="C59" s="40">
        <f>7411.31+2006.49</f>
        <v>9417.800000000001</v>
      </c>
      <c r="D59" s="40">
        <v>100.73</v>
      </c>
      <c r="E59" s="40">
        <f t="shared" si="0"/>
        <v>9518.53</v>
      </c>
      <c r="F59" s="40">
        <v>3100.59</v>
      </c>
      <c r="G59" s="40">
        <v>1780.21</v>
      </c>
      <c r="H59" s="40">
        <v>1988.22</v>
      </c>
      <c r="I59" s="40">
        <f t="shared" si="1"/>
        <v>6869.02</v>
      </c>
      <c r="J59" s="40">
        <v>0</v>
      </c>
      <c r="K59" s="40">
        <v>780.82</v>
      </c>
      <c r="L59" s="40">
        <f t="shared" si="2"/>
        <v>7649.84</v>
      </c>
      <c r="M59" s="40">
        <f t="shared" si="3"/>
        <v>1868.6900000000005</v>
      </c>
      <c r="N59" s="40">
        <v>893.24</v>
      </c>
      <c r="O59" s="40">
        <v>179.27</v>
      </c>
      <c r="P59" s="40">
        <f t="shared" si="4"/>
        <v>1072.51</v>
      </c>
      <c r="Q59" s="40">
        <f t="shared" si="5"/>
        <v>796.1800000000005</v>
      </c>
      <c r="R59" s="40">
        <f t="shared" si="6"/>
        <v>57.39368220518115</v>
      </c>
    </row>
    <row r="60" spans="1:18" ht="14.25">
      <c r="A60" s="20">
        <v>40</v>
      </c>
      <c r="B60" s="85" t="s">
        <v>205</v>
      </c>
      <c r="C60" s="59">
        <f>1418.74+254.21</f>
        <v>1672.95</v>
      </c>
      <c r="D60" s="59">
        <v>22.44</v>
      </c>
      <c r="E60" s="40">
        <f t="shared" si="0"/>
        <v>1695.39</v>
      </c>
      <c r="F60" s="59">
        <v>1160.67</v>
      </c>
      <c r="G60" s="59">
        <v>65.06</v>
      </c>
      <c r="H60" s="59">
        <v>12.75</v>
      </c>
      <c r="I60" s="40">
        <f t="shared" si="1"/>
        <v>1238.48</v>
      </c>
      <c r="J60" s="59">
        <v>193.6</v>
      </c>
      <c r="K60" s="59">
        <v>51.25</v>
      </c>
      <c r="L60" s="40">
        <f t="shared" si="2"/>
        <v>1483.33</v>
      </c>
      <c r="M60" s="40">
        <f t="shared" si="3"/>
        <v>212.06000000000017</v>
      </c>
      <c r="N60" s="59">
        <v>116.94</v>
      </c>
      <c r="O60" s="59">
        <v>26.78</v>
      </c>
      <c r="P60" s="40">
        <f t="shared" si="4"/>
        <v>143.72</v>
      </c>
      <c r="Q60" s="40">
        <f t="shared" si="5"/>
        <v>68.34000000000017</v>
      </c>
      <c r="R60" s="40">
        <f t="shared" si="6"/>
        <v>67.77327171555214</v>
      </c>
    </row>
    <row r="61" spans="1:18" ht="14.25">
      <c r="A61" s="20">
        <v>41</v>
      </c>
      <c r="B61" s="85" t="s">
        <v>206</v>
      </c>
      <c r="C61" s="59">
        <f>1720.41+1106.83</f>
        <v>2827.24</v>
      </c>
      <c r="D61" s="59">
        <v>666.68</v>
      </c>
      <c r="E61" s="40">
        <f t="shared" si="0"/>
        <v>3493.9199999999996</v>
      </c>
      <c r="F61" s="59">
        <v>113.07</v>
      </c>
      <c r="G61" s="59">
        <v>281.92</v>
      </c>
      <c r="H61" s="59">
        <v>101.53</v>
      </c>
      <c r="I61" s="40">
        <f t="shared" si="1"/>
        <v>496.52</v>
      </c>
      <c r="J61" s="59">
        <v>0</v>
      </c>
      <c r="K61" s="59">
        <v>929.53</v>
      </c>
      <c r="L61" s="40">
        <f t="shared" si="2"/>
        <v>1426.05</v>
      </c>
      <c r="M61" s="40">
        <f t="shared" si="3"/>
        <v>2067.87</v>
      </c>
      <c r="N61" s="59">
        <v>344.3</v>
      </c>
      <c r="O61" s="59">
        <v>1503.34</v>
      </c>
      <c r="P61" s="40">
        <f t="shared" si="4"/>
        <v>1847.6399999999999</v>
      </c>
      <c r="Q61" s="40">
        <f t="shared" si="5"/>
        <v>220.23000000000002</v>
      </c>
      <c r="R61" s="40">
        <f t="shared" si="6"/>
        <v>89.34991077775682</v>
      </c>
    </row>
    <row r="62" spans="1:18" s="63" customFormat="1" ht="15">
      <c r="A62" s="21"/>
      <c r="B62" s="7" t="s">
        <v>35</v>
      </c>
      <c r="C62" s="60">
        <f>SUM(C57:C61)</f>
        <v>19249.39</v>
      </c>
      <c r="D62" s="60">
        <f>SUM(D57:D61)</f>
        <v>1062.1499999999999</v>
      </c>
      <c r="E62" s="41">
        <f t="shared" si="0"/>
        <v>20311.54</v>
      </c>
      <c r="F62" s="60">
        <f>SUM(F57:F61)</f>
        <v>5536.9400000000005</v>
      </c>
      <c r="G62" s="60">
        <f>SUM(G57:G61)</f>
        <v>2801.43</v>
      </c>
      <c r="H62" s="60">
        <f>SUM(H57:H61)</f>
        <v>2623.85</v>
      </c>
      <c r="I62" s="41">
        <f t="shared" si="1"/>
        <v>10962.220000000001</v>
      </c>
      <c r="J62" s="60">
        <f>SUM(J57:J61)</f>
        <v>254.67</v>
      </c>
      <c r="K62" s="60">
        <f>SUM(K57:K61)</f>
        <v>3734.76</v>
      </c>
      <c r="L62" s="41">
        <f t="shared" si="2"/>
        <v>14951.650000000001</v>
      </c>
      <c r="M62" s="41">
        <f t="shared" si="3"/>
        <v>5359.889999999999</v>
      </c>
      <c r="N62" s="60">
        <f>SUM(N57:N61)</f>
        <v>2081.51</v>
      </c>
      <c r="O62" s="60">
        <f>SUM(O57:O61)</f>
        <v>1785.55</v>
      </c>
      <c r="P62" s="41">
        <f t="shared" si="4"/>
        <v>3867.0600000000004</v>
      </c>
      <c r="Q62" s="41">
        <f t="shared" si="5"/>
        <v>1492.829999999999</v>
      </c>
      <c r="R62" s="41">
        <f t="shared" si="6"/>
        <v>72.14812244281134</v>
      </c>
    </row>
    <row r="63" spans="1:18" ht="15">
      <c r="A63" s="20"/>
      <c r="B63" s="86" t="s">
        <v>207</v>
      </c>
      <c r="C63" s="59"/>
      <c r="D63" s="59"/>
      <c r="E63" s="40"/>
      <c r="F63" s="59"/>
      <c r="G63" s="59"/>
      <c r="H63" s="59"/>
      <c r="I63" s="40"/>
      <c r="J63" s="59"/>
      <c r="K63" s="59"/>
      <c r="L63" s="40"/>
      <c r="M63" s="40"/>
      <c r="N63" s="59"/>
      <c r="O63" s="59"/>
      <c r="P63" s="40"/>
      <c r="Q63" s="40"/>
      <c r="R63" s="40"/>
    </row>
    <row r="64" spans="1:18" ht="14.25">
      <c r="A64" s="20">
        <v>42</v>
      </c>
      <c r="B64" s="85" t="s">
        <v>208</v>
      </c>
      <c r="C64" s="59">
        <f>1689.89+1788.71</f>
        <v>3478.6000000000004</v>
      </c>
      <c r="D64" s="59">
        <v>11.63</v>
      </c>
      <c r="E64" s="40">
        <f t="shared" si="0"/>
        <v>3490.2300000000005</v>
      </c>
      <c r="F64" s="59">
        <v>1159.74</v>
      </c>
      <c r="G64" s="59">
        <v>271.04</v>
      </c>
      <c r="H64" s="59">
        <v>338.59</v>
      </c>
      <c r="I64" s="40">
        <f t="shared" si="1"/>
        <v>1769.37</v>
      </c>
      <c r="J64" s="59">
        <v>23.04</v>
      </c>
      <c r="K64" s="59">
        <v>1214.51</v>
      </c>
      <c r="L64" s="40">
        <f t="shared" si="2"/>
        <v>3006.92</v>
      </c>
      <c r="M64" s="40">
        <f t="shared" si="3"/>
        <v>483.3100000000004</v>
      </c>
      <c r="N64" s="59">
        <v>282</v>
      </c>
      <c r="O64" s="59">
        <v>34.28</v>
      </c>
      <c r="P64" s="40">
        <f t="shared" si="4"/>
        <v>316.28</v>
      </c>
      <c r="Q64" s="40">
        <f t="shared" si="5"/>
        <v>167.03000000000043</v>
      </c>
      <c r="R64" s="40">
        <f t="shared" si="6"/>
        <v>65.440400571062</v>
      </c>
    </row>
    <row r="65" spans="1:18" ht="14.25">
      <c r="A65" s="20">
        <v>43</v>
      </c>
      <c r="B65" s="85" t="s">
        <v>209</v>
      </c>
      <c r="C65" s="59">
        <f>624.49+530.84</f>
        <v>1155.33</v>
      </c>
      <c r="D65" s="59">
        <v>85.93</v>
      </c>
      <c r="E65" s="40">
        <f t="shared" si="0"/>
        <v>1241.26</v>
      </c>
      <c r="F65" s="59">
        <v>109.31</v>
      </c>
      <c r="G65" s="59">
        <v>424.26</v>
      </c>
      <c r="H65" s="59">
        <v>19.86</v>
      </c>
      <c r="I65" s="40">
        <f t="shared" si="1"/>
        <v>553.43</v>
      </c>
      <c r="J65" s="59">
        <v>18.34</v>
      </c>
      <c r="K65" s="59">
        <v>446.83</v>
      </c>
      <c r="L65" s="40">
        <f t="shared" si="2"/>
        <v>1018.5999999999999</v>
      </c>
      <c r="M65" s="40">
        <f t="shared" si="3"/>
        <v>222.66000000000008</v>
      </c>
      <c r="N65" s="59">
        <v>114.28</v>
      </c>
      <c r="O65" s="59">
        <v>42</v>
      </c>
      <c r="P65" s="40">
        <f t="shared" si="4"/>
        <v>156.28</v>
      </c>
      <c r="Q65" s="40">
        <f t="shared" si="5"/>
        <v>66.38000000000008</v>
      </c>
      <c r="R65" s="40">
        <f t="shared" si="6"/>
        <v>70.187730171562</v>
      </c>
    </row>
    <row r="66" spans="1:18" ht="14.25">
      <c r="A66" s="20">
        <v>44</v>
      </c>
      <c r="B66" s="85" t="s">
        <v>210</v>
      </c>
      <c r="C66" s="59">
        <f>18640.36+6482.72</f>
        <v>25123.08</v>
      </c>
      <c r="D66" s="59">
        <v>8740.97</v>
      </c>
      <c r="E66" s="40">
        <f t="shared" si="0"/>
        <v>33864.05</v>
      </c>
      <c r="F66" s="59">
        <v>15055.65</v>
      </c>
      <c r="G66" s="59">
        <v>472.23</v>
      </c>
      <c r="H66" s="59">
        <v>698.82</v>
      </c>
      <c r="I66" s="40">
        <f t="shared" si="1"/>
        <v>16226.699999999999</v>
      </c>
      <c r="J66" s="59">
        <v>17039.44</v>
      </c>
      <c r="K66" s="59">
        <v>0</v>
      </c>
      <c r="L66" s="40">
        <f t="shared" si="2"/>
        <v>33266.14</v>
      </c>
      <c r="M66" s="40">
        <f t="shared" si="3"/>
        <v>597.9100000000035</v>
      </c>
      <c r="N66" s="59">
        <v>288.69</v>
      </c>
      <c r="O66" s="59">
        <v>64.59</v>
      </c>
      <c r="P66" s="40">
        <f t="shared" si="4"/>
        <v>353.28</v>
      </c>
      <c r="Q66" s="40">
        <f t="shared" si="5"/>
        <v>244.63000000000352</v>
      </c>
      <c r="R66" s="40">
        <f t="shared" si="6"/>
        <v>59.085815590974875</v>
      </c>
    </row>
    <row r="67" spans="1:18" ht="14.25">
      <c r="A67" s="20">
        <v>45</v>
      </c>
      <c r="B67" s="85" t="s">
        <v>211</v>
      </c>
      <c r="C67" s="59">
        <f>659.48+917.91</f>
        <v>1577.3899999999999</v>
      </c>
      <c r="D67" s="59">
        <v>0</v>
      </c>
      <c r="E67" s="40">
        <f t="shared" si="0"/>
        <v>1577.3899999999999</v>
      </c>
      <c r="F67" s="59">
        <v>410.26</v>
      </c>
      <c r="G67" s="59">
        <v>287.14</v>
      </c>
      <c r="H67" s="59">
        <v>43.79</v>
      </c>
      <c r="I67" s="40">
        <f t="shared" si="1"/>
        <v>741.1899999999999</v>
      </c>
      <c r="J67" s="59">
        <v>455.05</v>
      </c>
      <c r="K67" s="59">
        <v>0</v>
      </c>
      <c r="L67" s="40">
        <f t="shared" si="2"/>
        <v>1196.24</v>
      </c>
      <c r="M67" s="40">
        <f t="shared" si="3"/>
        <v>381.14999999999986</v>
      </c>
      <c r="N67" s="59">
        <v>259.05</v>
      </c>
      <c r="O67" s="59">
        <v>31.39</v>
      </c>
      <c r="P67" s="40">
        <f t="shared" si="4"/>
        <v>290.44</v>
      </c>
      <c r="Q67" s="40">
        <f t="shared" si="5"/>
        <v>90.70999999999987</v>
      </c>
      <c r="R67" s="40">
        <f t="shared" si="6"/>
        <v>76.20097074642533</v>
      </c>
    </row>
    <row r="68" spans="1:18" ht="14.25">
      <c r="A68" s="20">
        <v>46</v>
      </c>
      <c r="B68" s="85" t="s">
        <v>212</v>
      </c>
      <c r="C68" s="59">
        <f>128.36+222.86</f>
        <v>351.22</v>
      </c>
      <c r="D68" s="59">
        <v>9.23</v>
      </c>
      <c r="E68" s="40">
        <f t="shared" si="0"/>
        <v>360.45000000000005</v>
      </c>
      <c r="F68" s="59">
        <v>104.01</v>
      </c>
      <c r="G68" s="59">
        <v>13.28</v>
      </c>
      <c r="H68" s="59">
        <v>3.36</v>
      </c>
      <c r="I68" s="40">
        <f t="shared" si="1"/>
        <v>120.65</v>
      </c>
      <c r="J68" s="59">
        <v>0</v>
      </c>
      <c r="K68" s="59">
        <v>132.09</v>
      </c>
      <c r="L68" s="40">
        <f t="shared" si="2"/>
        <v>252.74</v>
      </c>
      <c r="M68" s="40">
        <f t="shared" si="3"/>
        <v>107.71000000000004</v>
      </c>
      <c r="N68" s="59">
        <v>53.49</v>
      </c>
      <c r="O68" s="59">
        <v>14.47</v>
      </c>
      <c r="P68" s="40">
        <f t="shared" si="4"/>
        <v>67.96000000000001</v>
      </c>
      <c r="Q68" s="40">
        <f t="shared" si="5"/>
        <v>39.75000000000003</v>
      </c>
      <c r="R68" s="40">
        <f t="shared" si="6"/>
        <v>63.09534862129792</v>
      </c>
    </row>
    <row r="69" spans="1:18" s="63" customFormat="1" ht="15">
      <c r="A69" s="21"/>
      <c r="B69" s="7" t="s">
        <v>35</v>
      </c>
      <c r="C69" s="60">
        <f>SUM(C64:C68)</f>
        <v>31685.620000000003</v>
      </c>
      <c r="D69" s="60">
        <f>SUM(D64:D68)</f>
        <v>8847.759999999998</v>
      </c>
      <c r="E69" s="41">
        <f t="shared" si="0"/>
        <v>40533.380000000005</v>
      </c>
      <c r="F69" s="60">
        <f>SUM(F64:F68)</f>
        <v>16838.969999999998</v>
      </c>
      <c r="G69" s="60">
        <f>SUM(G64:G68)</f>
        <v>1467.95</v>
      </c>
      <c r="H69" s="60">
        <f>SUM(H64:H68)</f>
        <v>1104.4199999999998</v>
      </c>
      <c r="I69" s="41">
        <f t="shared" si="1"/>
        <v>19411.339999999997</v>
      </c>
      <c r="J69" s="60">
        <f>SUM(J64:J68)</f>
        <v>17535.87</v>
      </c>
      <c r="K69" s="60">
        <f>SUM(K64:K68)</f>
        <v>1793.4299999999998</v>
      </c>
      <c r="L69" s="41">
        <f t="shared" si="2"/>
        <v>38740.63999999999</v>
      </c>
      <c r="M69" s="41">
        <f t="shared" si="3"/>
        <v>1792.7400000000125</v>
      </c>
      <c r="N69" s="60">
        <f>SUM(N64:N68)</f>
        <v>997.51</v>
      </c>
      <c r="O69" s="60">
        <f>SUM(O64:O68)</f>
        <v>186.73</v>
      </c>
      <c r="P69" s="41">
        <f t="shared" si="4"/>
        <v>1184.24</v>
      </c>
      <c r="Q69" s="41">
        <f t="shared" si="5"/>
        <v>608.5000000000125</v>
      </c>
      <c r="R69" s="41">
        <f t="shared" si="6"/>
        <v>66.0575432020255</v>
      </c>
    </row>
    <row r="70" spans="1:18" ht="15">
      <c r="A70" s="20"/>
      <c r="B70" s="86" t="s">
        <v>213</v>
      </c>
      <c r="C70" s="59"/>
      <c r="D70" s="59"/>
      <c r="E70" s="40"/>
      <c r="F70" s="59"/>
      <c r="G70" s="59"/>
      <c r="H70" s="59"/>
      <c r="I70" s="40"/>
      <c r="J70" s="59"/>
      <c r="K70" s="59"/>
      <c r="L70" s="40"/>
      <c r="M70" s="40"/>
      <c r="N70" s="59"/>
      <c r="O70" s="59"/>
      <c r="P70" s="40"/>
      <c r="Q70" s="40"/>
      <c r="R70" s="40"/>
    </row>
    <row r="71" spans="1:18" ht="14.25">
      <c r="A71" s="20">
        <v>47</v>
      </c>
      <c r="B71" s="85" t="s">
        <v>214</v>
      </c>
      <c r="C71" s="59">
        <f>158.11+556.67</f>
        <v>714.78</v>
      </c>
      <c r="D71" s="59">
        <v>1.38</v>
      </c>
      <c r="E71" s="40">
        <f t="shared" si="0"/>
        <v>716.16</v>
      </c>
      <c r="F71" s="59">
        <v>94.3</v>
      </c>
      <c r="G71" s="59">
        <v>67.57</v>
      </c>
      <c r="H71" s="59">
        <v>0</v>
      </c>
      <c r="I71" s="40">
        <f t="shared" si="1"/>
        <v>161.87</v>
      </c>
      <c r="J71" s="59">
        <v>0</v>
      </c>
      <c r="K71" s="59">
        <v>473.65</v>
      </c>
      <c r="L71" s="40">
        <f t="shared" si="2"/>
        <v>635.52</v>
      </c>
      <c r="M71" s="40">
        <f t="shared" si="3"/>
        <v>80.63999999999999</v>
      </c>
      <c r="N71" s="59">
        <v>50.01</v>
      </c>
      <c r="O71" s="59">
        <v>27.23</v>
      </c>
      <c r="P71" s="40">
        <f t="shared" si="4"/>
        <v>77.24</v>
      </c>
      <c r="Q71" s="40">
        <f t="shared" si="5"/>
        <v>3.3999999999999915</v>
      </c>
      <c r="R71" s="40">
        <f t="shared" si="6"/>
        <v>95.78373015873018</v>
      </c>
    </row>
    <row r="72" spans="1:18" ht="14.25">
      <c r="A72" s="20">
        <v>48</v>
      </c>
      <c r="B72" s="85" t="s">
        <v>215</v>
      </c>
      <c r="C72" s="59">
        <f>327.81+392.37</f>
        <v>720.1800000000001</v>
      </c>
      <c r="D72" s="59">
        <v>26.16</v>
      </c>
      <c r="E72" s="40">
        <f aca="true" t="shared" si="7" ref="E72:E96">C72+D72</f>
        <v>746.34</v>
      </c>
      <c r="F72" s="59">
        <v>39.6</v>
      </c>
      <c r="G72" s="59">
        <v>375.87</v>
      </c>
      <c r="H72" s="59">
        <v>6.14</v>
      </c>
      <c r="I72" s="40">
        <f aca="true" t="shared" si="8" ref="I72:I96">F72+G72+H72</f>
        <v>421.61</v>
      </c>
      <c r="J72" s="59">
        <v>20.94</v>
      </c>
      <c r="K72" s="59">
        <v>222.37</v>
      </c>
      <c r="L72" s="40">
        <f aca="true" t="shared" si="9" ref="L72:L96">I72+J72+K72</f>
        <v>664.9200000000001</v>
      </c>
      <c r="M72" s="40">
        <f aca="true" t="shared" si="10" ref="M72:M96">E72-L72</f>
        <v>81.41999999999996</v>
      </c>
      <c r="N72" s="59">
        <v>53.94</v>
      </c>
      <c r="O72" s="59">
        <v>25.13</v>
      </c>
      <c r="P72" s="40">
        <f aca="true" t="shared" si="11" ref="P72:P96">N72+O72</f>
        <v>79.07</v>
      </c>
      <c r="Q72" s="40">
        <f aca="true" t="shared" si="12" ref="Q72:Q96">M72-P72</f>
        <v>2.349999999999966</v>
      </c>
      <c r="R72" s="40">
        <f aca="true" t="shared" si="13" ref="R72:R96">P72/M72*100</f>
        <v>97.11373126995828</v>
      </c>
    </row>
    <row r="73" spans="1:18" ht="14.25">
      <c r="A73" s="20">
        <v>49</v>
      </c>
      <c r="B73" s="85" t="s">
        <v>216</v>
      </c>
      <c r="C73" s="59">
        <f>411.77+537.83</f>
        <v>949.6</v>
      </c>
      <c r="D73" s="59">
        <v>5.79</v>
      </c>
      <c r="E73" s="40">
        <f t="shared" si="7"/>
        <v>955.39</v>
      </c>
      <c r="F73" s="59">
        <v>101.32</v>
      </c>
      <c r="G73" s="59">
        <v>53.05</v>
      </c>
      <c r="H73" s="59">
        <v>0</v>
      </c>
      <c r="I73" s="40">
        <f t="shared" si="8"/>
        <v>154.37</v>
      </c>
      <c r="J73" s="59">
        <v>40.9</v>
      </c>
      <c r="K73" s="59">
        <v>678.49</v>
      </c>
      <c r="L73" s="40">
        <f t="shared" si="9"/>
        <v>873.76</v>
      </c>
      <c r="M73" s="40">
        <f t="shared" si="10"/>
        <v>81.63</v>
      </c>
      <c r="N73" s="59">
        <v>60.92</v>
      </c>
      <c r="O73" s="59">
        <v>18.85</v>
      </c>
      <c r="P73" s="40">
        <f t="shared" si="11"/>
        <v>79.77000000000001</v>
      </c>
      <c r="Q73" s="40">
        <f t="shared" si="12"/>
        <v>1.8599999999999852</v>
      </c>
      <c r="R73" s="40">
        <f t="shared" si="13"/>
        <v>97.72142594634327</v>
      </c>
    </row>
    <row r="74" spans="1:18" ht="14.25">
      <c r="A74" s="20">
        <v>50</v>
      </c>
      <c r="B74" s="85" t="s">
        <v>217</v>
      </c>
      <c r="C74" s="59">
        <f>65.08+239.96</f>
        <v>305.04</v>
      </c>
      <c r="D74" s="59">
        <v>26.04</v>
      </c>
      <c r="E74" s="40">
        <f t="shared" si="7"/>
        <v>331.08000000000004</v>
      </c>
      <c r="F74" s="59">
        <v>43.58</v>
      </c>
      <c r="G74" s="59">
        <v>10.04</v>
      </c>
      <c r="H74" s="59">
        <v>0</v>
      </c>
      <c r="I74" s="40">
        <f t="shared" si="8"/>
        <v>53.62</v>
      </c>
      <c r="J74" s="59">
        <v>12.57</v>
      </c>
      <c r="K74" s="59">
        <v>184.92</v>
      </c>
      <c r="L74" s="40">
        <f t="shared" si="9"/>
        <v>251.10999999999999</v>
      </c>
      <c r="M74" s="40">
        <f t="shared" si="10"/>
        <v>79.97000000000006</v>
      </c>
      <c r="N74" s="59">
        <v>66.47</v>
      </c>
      <c r="O74" s="59">
        <v>12.33</v>
      </c>
      <c r="P74" s="40">
        <f t="shared" si="11"/>
        <v>78.8</v>
      </c>
      <c r="Q74" s="40">
        <f t="shared" si="12"/>
        <v>1.1700000000000585</v>
      </c>
      <c r="R74" s="40">
        <f t="shared" si="13"/>
        <v>98.53695135675872</v>
      </c>
    </row>
    <row r="75" spans="1:18" ht="14.25">
      <c r="A75" s="20">
        <v>51</v>
      </c>
      <c r="B75" s="85" t="s">
        <v>218</v>
      </c>
      <c r="C75" s="59">
        <f>256.06+434.98</f>
        <v>691.04</v>
      </c>
      <c r="D75" s="59">
        <v>7.27</v>
      </c>
      <c r="E75" s="40">
        <f t="shared" si="7"/>
        <v>698.31</v>
      </c>
      <c r="F75" s="59">
        <v>183.12</v>
      </c>
      <c r="G75" s="59">
        <v>215.27</v>
      </c>
      <c r="H75" s="59">
        <v>16.2</v>
      </c>
      <c r="I75" s="40">
        <f t="shared" si="8"/>
        <v>414.59</v>
      </c>
      <c r="J75" s="59">
        <v>0</v>
      </c>
      <c r="K75" s="59">
        <v>194.96</v>
      </c>
      <c r="L75" s="40">
        <f t="shared" si="9"/>
        <v>609.55</v>
      </c>
      <c r="M75" s="40">
        <f t="shared" si="10"/>
        <v>88.75999999999999</v>
      </c>
      <c r="N75" s="59">
        <v>69.33</v>
      </c>
      <c r="O75" s="59">
        <v>15.98</v>
      </c>
      <c r="P75" s="40">
        <f t="shared" si="11"/>
        <v>85.31</v>
      </c>
      <c r="Q75" s="40">
        <f t="shared" si="12"/>
        <v>3.4499999999999886</v>
      </c>
      <c r="R75" s="40">
        <f t="shared" si="13"/>
        <v>96.11311401532222</v>
      </c>
    </row>
    <row r="76" spans="1:18" ht="14.25">
      <c r="A76" s="20">
        <v>52</v>
      </c>
      <c r="B76" s="85" t="s">
        <v>219</v>
      </c>
      <c r="C76" s="59">
        <f>49.95+643.91</f>
        <v>693.86</v>
      </c>
      <c r="D76" s="59">
        <v>5.79</v>
      </c>
      <c r="E76" s="40">
        <f t="shared" si="7"/>
        <v>699.65</v>
      </c>
      <c r="F76" s="59">
        <v>165.16</v>
      </c>
      <c r="G76" s="59">
        <v>72.18</v>
      </c>
      <c r="H76" s="59">
        <v>0</v>
      </c>
      <c r="I76" s="40">
        <f t="shared" si="8"/>
        <v>237.34</v>
      </c>
      <c r="J76" s="59">
        <v>3.31</v>
      </c>
      <c r="K76" s="59">
        <v>380.74</v>
      </c>
      <c r="L76" s="40">
        <f t="shared" si="9"/>
        <v>621.39</v>
      </c>
      <c r="M76" s="40">
        <f t="shared" si="10"/>
        <v>78.25999999999999</v>
      </c>
      <c r="N76" s="59">
        <v>57.53</v>
      </c>
      <c r="O76" s="59">
        <v>18.09</v>
      </c>
      <c r="P76" s="40">
        <f t="shared" si="11"/>
        <v>75.62</v>
      </c>
      <c r="Q76" s="40">
        <f t="shared" si="12"/>
        <v>2.6399999999999864</v>
      </c>
      <c r="R76" s="40">
        <f t="shared" si="13"/>
        <v>96.62662918476875</v>
      </c>
    </row>
    <row r="77" spans="1:18" s="63" customFormat="1" ht="15">
      <c r="A77" s="21"/>
      <c r="B77" s="7" t="s">
        <v>35</v>
      </c>
      <c r="C77" s="60">
        <f>SUM(C71:C76)</f>
        <v>4074.5</v>
      </c>
      <c r="D77" s="60">
        <f>SUM(D71:D76)</f>
        <v>72.43</v>
      </c>
      <c r="E77" s="41">
        <f t="shared" si="7"/>
        <v>4146.93</v>
      </c>
      <c r="F77" s="60">
        <f>SUM(F71:F76)</f>
        <v>627.08</v>
      </c>
      <c r="G77" s="60">
        <f>SUM(G71:G76)</f>
        <v>793.98</v>
      </c>
      <c r="H77" s="60">
        <f>SUM(H71:H76)</f>
        <v>22.34</v>
      </c>
      <c r="I77" s="41">
        <f t="shared" si="8"/>
        <v>1443.3999999999999</v>
      </c>
      <c r="J77" s="60">
        <f>SUM(J71:J76)</f>
        <v>77.72</v>
      </c>
      <c r="K77" s="60">
        <f>SUM(K71:K76)</f>
        <v>2135.13</v>
      </c>
      <c r="L77" s="41">
        <f t="shared" si="9"/>
        <v>3656.25</v>
      </c>
      <c r="M77" s="41">
        <f t="shared" si="10"/>
        <v>490.6800000000003</v>
      </c>
      <c r="N77" s="60">
        <f>SUM(N71:N76)</f>
        <v>358.20000000000005</v>
      </c>
      <c r="O77" s="60">
        <f>SUM(O71:O76)</f>
        <v>117.61000000000001</v>
      </c>
      <c r="P77" s="41">
        <f t="shared" si="11"/>
        <v>475.81000000000006</v>
      </c>
      <c r="Q77" s="41">
        <f t="shared" si="12"/>
        <v>14.870000000000232</v>
      </c>
      <c r="R77" s="41">
        <f t="shared" si="13"/>
        <v>96.96951169805163</v>
      </c>
    </row>
    <row r="78" spans="1:18" ht="15">
      <c r="A78" s="20"/>
      <c r="B78" s="86" t="s">
        <v>220</v>
      </c>
      <c r="C78" s="59"/>
      <c r="D78" s="59"/>
      <c r="E78" s="40"/>
      <c r="F78" s="59"/>
      <c r="G78" s="59"/>
      <c r="H78" s="59"/>
      <c r="I78" s="40"/>
      <c r="J78" s="59"/>
      <c r="K78" s="59"/>
      <c r="L78" s="40"/>
      <c r="M78" s="40"/>
      <c r="N78" s="59"/>
      <c r="O78" s="59"/>
      <c r="P78" s="40"/>
      <c r="Q78" s="40"/>
      <c r="R78" s="40"/>
    </row>
    <row r="79" spans="1:18" ht="14.25">
      <c r="A79" s="20">
        <v>53</v>
      </c>
      <c r="B79" s="85" t="s">
        <v>221</v>
      </c>
      <c r="C79" s="59">
        <f>3291.57+1012.01</f>
        <v>4303.58</v>
      </c>
      <c r="D79" s="59">
        <v>134.67</v>
      </c>
      <c r="E79" s="40">
        <f t="shared" si="7"/>
        <v>4438.25</v>
      </c>
      <c r="F79" s="59">
        <v>442.28</v>
      </c>
      <c r="G79" s="59">
        <v>996.34</v>
      </c>
      <c r="H79" s="59">
        <v>885.52</v>
      </c>
      <c r="I79" s="40">
        <f t="shared" si="8"/>
        <v>2324.14</v>
      </c>
      <c r="J79" s="59">
        <v>0</v>
      </c>
      <c r="K79" s="59">
        <v>617.22</v>
      </c>
      <c r="L79" s="40">
        <f t="shared" si="9"/>
        <v>2941.3599999999997</v>
      </c>
      <c r="M79" s="40">
        <f t="shared" si="10"/>
        <v>1496.8900000000003</v>
      </c>
      <c r="N79" s="59">
        <v>930.24</v>
      </c>
      <c r="O79" s="59">
        <v>299.3</v>
      </c>
      <c r="P79" s="40">
        <f t="shared" si="11"/>
        <v>1229.54</v>
      </c>
      <c r="Q79" s="40">
        <f t="shared" si="12"/>
        <v>267.35000000000036</v>
      </c>
      <c r="R79" s="40">
        <f t="shared" si="13"/>
        <v>82.13963617901113</v>
      </c>
    </row>
    <row r="80" spans="1:18" ht="14.25">
      <c r="A80" s="20">
        <v>54</v>
      </c>
      <c r="B80" s="85" t="s">
        <v>222</v>
      </c>
      <c r="C80" s="59">
        <f>299.78+274.65</f>
        <v>574.43</v>
      </c>
      <c r="D80" s="59">
        <v>10.27</v>
      </c>
      <c r="E80" s="40">
        <f t="shared" si="7"/>
        <v>584.6999999999999</v>
      </c>
      <c r="F80" s="59">
        <v>79.39</v>
      </c>
      <c r="G80" s="59">
        <v>89.05</v>
      </c>
      <c r="H80" s="59">
        <v>40.64</v>
      </c>
      <c r="I80" s="40">
        <f t="shared" si="8"/>
        <v>209.07999999999998</v>
      </c>
      <c r="J80" s="59">
        <v>0</v>
      </c>
      <c r="K80" s="59">
        <v>94.06</v>
      </c>
      <c r="L80" s="40">
        <f t="shared" si="9"/>
        <v>303.14</v>
      </c>
      <c r="M80" s="40">
        <f t="shared" si="10"/>
        <v>281.55999999999995</v>
      </c>
      <c r="N80" s="59">
        <v>172.96</v>
      </c>
      <c r="O80" s="59">
        <v>59.06</v>
      </c>
      <c r="P80" s="40">
        <f t="shared" si="11"/>
        <v>232.02</v>
      </c>
      <c r="Q80" s="40">
        <f t="shared" si="12"/>
        <v>49.539999999999935</v>
      </c>
      <c r="R80" s="40">
        <f t="shared" si="13"/>
        <v>82.40517118908937</v>
      </c>
    </row>
    <row r="81" spans="1:18" ht="14.25">
      <c r="A81" s="20">
        <v>55</v>
      </c>
      <c r="B81" s="85" t="s">
        <v>223</v>
      </c>
      <c r="C81" s="59">
        <f>176.83+125.82</f>
        <v>302.65</v>
      </c>
      <c r="D81" s="59">
        <v>14.99</v>
      </c>
      <c r="E81" s="40">
        <f t="shared" si="7"/>
        <v>317.64</v>
      </c>
      <c r="F81" s="59">
        <v>49.98</v>
      </c>
      <c r="G81" s="59">
        <v>46.02</v>
      </c>
      <c r="H81" s="59">
        <v>92.45</v>
      </c>
      <c r="I81" s="40">
        <f t="shared" si="8"/>
        <v>188.45</v>
      </c>
      <c r="J81" s="59">
        <v>0</v>
      </c>
      <c r="K81" s="59">
        <v>15.13</v>
      </c>
      <c r="L81" s="40">
        <f t="shared" si="9"/>
        <v>203.57999999999998</v>
      </c>
      <c r="M81" s="40">
        <f t="shared" si="10"/>
        <v>114.06</v>
      </c>
      <c r="N81" s="59">
        <v>51.16</v>
      </c>
      <c r="O81" s="59">
        <v>36.19</v>
      </c>
      <c r="P81" s="40">
        <f t="shared" si="11"/>
        <v>87.35</v>
      </c>
      <c r="Q81" s="40">
        <f t="shared" si="12"/>
        <v>26.710000000000008</v>
      </c>
      <c r="R81" s="40">
        <f t="shared" si="13"/>
        <v>76.58250043836577</v>
      </c>
    </row>
    <row r="82" spans="1:18" s="63" customFormat="1" ht="15">
      <c r="A82" s="21"/>
      <c r="B82" s="7" t="s">
        <v>35</v>
      </c>
      <c r="C82" s="60">
        <f>SUM(C79:C81)</f>
        <v>5180.66</v>
      </c>
      <c r="D82" s="60">
        <f>SUM(D79:D81)</f>
        <v>159.93</v>
      </c>
      <c r="E82" s="41">
        <f t="shared" si="7"/>
        <v>5340.59</v>
      </c>
      <c r="F82" s="60">
        <f>SUM(F79:F81)</f>
        <v>571.65</v>
      </c>
      <c r="G82" s="60">
        <f>SUM(G79:G81)</f>
        <v>1131.41</v>
      </c>
      <c r="H82" s="60">
        <f>SUM(H79:H81)</f>
        <v>1018.61</v>
      </c>
      <c r="I82" s="41">
        <f t="shared" si="8"/>
        <v>2721.67</v>
      </c>
      <c r="J82" s="60">
        <f>SUM(J79:J81)</f>
        <v>0</v>
      </c>
      <c r="K82" s="60">
        <f>SUM(K79:K81)</f>
        <v>726.41</v>
      </c>
      <c r="L82" s="41">
        <f t="shared" si="9"/>
        <v>3448.08</v>
      </c>
      <c r="M82" s="41">
        <f t="shared" si="10"/>
        <v>1892.5100000000002</v>
      </c>
      <c r="N82" s="60">
        <f>SUM(N79:N81)</f>
        <v>1154.3600000000001</v>
      </c>
      <c r="O82" s="60">
        <f>SUM(O79:O81)</f>
        <v>394.55</v>
      </c>
      <c r="P82" s="41">
        <f t="shared" si="11"/>
        <v>1548.91</v>
      </c>
      <c r="Q82" s="41">
        <f t="shared" si="12"/>
        <v>343.60000000000014</v>
      </c>
      <c r="R82" s="41">
        <f t="shared" si="13"/>
        <v>81.8442174678073</v>
      </c>
    </row>
    <row r="83" spans="1:18" ht="15">
      <c r="A83" s="20"/>
      <c r="B83" s="86" t="s">
        <v>224</v>
      </c>
      <c r="C83" s="59"/>
      <c r="D83" s="59"/>
      <c r="E83" s="40"/>
      <c r="F83" s="59"/>
      <c r="G83" s="59"/>
      <c r="H83" s="59"/>
      <c r="I83" s="40"/>
      <c r="J83" s="59"/>
      <c r="K83" s="59"/>
      <c r="L83" s="40"/>
      <c r="M83" s="40"/>
      <c r="N83" s="59"/>
      <c r="O83" s="59"/>
      <c r="P83" s="40"/>
      <c r="Q83" s="40"/>
      <c r="R83" s="40"/>
    </row>
    <row r="84" spans="1:18" ht="14.25">
      <c r="A84" s="20">
        <v>56</v>
      </c>
      <c r="B84" s="85" t="s">
        <v>225</v>
      </c>
      <c r="C84" s="59">
        <f>328.89+1091.19</f>
        <v>1420.08</v>
      </c>
      <c r="D84" s="59">
        <v>6.62</v>
      </c>
      <c r="E84" s="40">
        <f t="shared" si="7"/>
        <v>1426.6999999999998</v>
      </c>
      <c r="F84" s="59">
        <v>66.65</v>
      </c>
      <c r="G84" s="59">
        <v>182.58</v>
      </c>
      <c r="H84" s="59">
        <v>18.87</v>
      </c>
      <c r="I84" s="40">
        <f t="shared" si="8"/>
        <v>268.1</v>
      </c>
      <c r="J84" s="59">
        <v>0.03</v>
      </c>
      <c r="K84" s="59">
        <v>1079.95</v>
      </c>
      <c r="L84" s="40">
        <f t="shared" si="9"/>
        <v>1348.08</v>
      </c>
      <c r="M84" s="40">
        <f t="shared" si="10"/>
        <v>78.61999999999989</v>
      </c>
      <c r="N84" s="59">
        <v>44.92</v>
      </c>
      <c r="O84" s="59">
        <v>26.34</v>
      </c>
      <c r="P84" s="40">
        <f t="shared" si="11"/>
        <v>71.26</v>
      </c>
      <c r="Q84" s="40">
        <f t="shared" si="12"/>
        <v>7.359999999999886</v>
      </c>
      <c r="R84" s="40">
        <f t="shared" si="13"/>
        <v>90.63851437293323</v>
      </c>
    </row>
    <row r="85" spans="1:18" ht="14.25">
      <c r="A85" s="20">
        <v>57</v>
      </c>
      <c r="B85" s="85" t="s">
        <v>226</v>
      </c>
      <c r="C85" s="59">
        <f>1252.98+791.93</f>
        <v>2044.9099999999999</v>
      </c>
      <c r="D85" s="59">
        <v>7.49</v>
      </c>
      <c r="E85" s="40">
        <f t="shared" si="7"/>
        <v>2052.3999999999996</v>
      </c>
      <c r="F85" s="59">
        <v>141.04</v>
      </c>
      <c r="G85" s="59">
        <v>236.98</v>
      </c>
      <c r="H85" s="59">
        <v>93.18</v>
      </c>
      <c r="I85" s="40">
        <f t="shared" si="8"/>
        <v>471.2</v>
      </c>
      <c r="J85" s="59">
        <v>0</v>
      </c>
      <c r="K85" s="59">
        <v>1504.69</v>
      </c>
      <c r="L85" s="40">
        <f t="shared" si="9"/>
        <v>1975.89</v>
      </c>
      <c r="M85" s="40">
        <f t="shared" si="10"/>
        <v>76.50999999999954</v>
      </c>
      <c r="N85" s="59">
        <v>43.25</v>
      </c>
      <c r="O85" s="59">
        <v>23.34</v>
      </c>
      <c r="P85" s="40">
        <f t="shared" si="11"/>
        <v>66.59</v>
      </c>
      <c r="Q85" s="40">
        <f t="shared" si="12"/>
        <v>9.919999999999533</v>
      </c>
      <c r="R85" s="40">
        <f t="shared" si="13"/>
        <v>87.0343745915572</v>
      </c>
    </row>
    <row r="86" spans="1:18" ht="14.25">
      <c r="A86" s="20">
        <v>58</v>
      </c>
      <c r="B86" s="85" t="s">
        <v>227</v>
      </c>
      <c r="C86" s="59">
        <f>577.94+102.3</f>
        <v>680.24</v>
      </c>
      <c r="D86" s="59">
        <v>33.77</v>
      </c>
      <c r="E86" s="40">
        <f t="shared" si="7"/>
        <v>714.01</v>
      </c>
      <c r="F86" s="59">
        <v>169.46</v>
      </c>
      <c r="G86" s="59">
        <v>379.25</v>
      </c>
      <c r="H86" s="59">
        <v>0</v>
      </c>
      <c r="I86" s="40">
        <f t="shared" si="8"/>
        <v>548.71</v>
      </c>
      <c r="J86" s="59">
        <v>0</v>
      </c>
      <c r="K86" s="59">
        <v>96.18</v>
      </c>
      <c r="L86" s="40">
        <f t="shared" si="9"/>
        <v>644.8900000000001</v>
      </c>
      <c r="M86" s="40">
        <f t="shared" si="10"/>
        <v>69.11999999999989</v>
      </c>
      <c r="N86" s="59">
        <v>33.52</v>
      </c>
      <c r="O86" s="59">
        <v>26.16</v>
      </c>
      <c r="P86" s="40">
        <f t="shared" si="11"/>
        <v>59.68000000000001</v>
      </c>
      <c r="Q86" s="40">
        <f t="shared" si="12"/>
        <v>9.439999999999884</v>
      </c>
      <c r="R86" s="40">
        <f t="shared" si="13"/>
        <v>86.34259259259274</v>
      </c>
    </row>
    <row r="87" spans="1:18" s="63" customFormat="1" ht="15">
      <c r="A87" s="21"/>
      <c r="B87" s="7" t="s">
        <v>35</v>
      </c>
      <c r="C87" s="60">
        <f>SUM(C84:C86)</f>
        <v>4145.23</v>
      </c>
      <c r="D87" s="60">
        <f>SUM(D84:D86)</f>
        <v>47.88</v>
      </c>
      <c r="E87" s="41">
        <f t="shared" si="7"/>
        <v>4193.11</v>
      </c>
      <c r="F87" s="60">
        <f>SUM(F84:F86)</f>
        <v>377.15</v>
      </c>
      <c r="G87" s="60">
        <f>SUM(G84:G86)</f>
        <v>798.81</v>
      </c>
      <c r="H87" s="60">
        <f>SUM(H84:H86)</f>
        <v>112.05000000000001</v>
      </c>
      <c r="I87" s="41">
        <f t="shared" si="8"/>
        <v>1288.01</v>
      </c>
      <c r="J87" s="60">
        <f>SUM(J84:J86)</f>
        <v>0.03</v>
      </c>
      <c r="K87" s="60">
        <f>SUM(K84:K86)</f>
        <v>2680.82</v>
      </c>
      <c r="L87" s="41">
        <f t="shared" si="9"/>
        <v>3968.86</v>
      </c>
      <c r="M87" s="41">
        <f t="shared" si="10"/>
        <v>224.24999999999955</v>
      </c>
      <c r="N87" s="60">
        <f>SUM(N84:N86)</f>
        <v>121.69</v>
      </c>
      <c r="O87" s="60">
        <f>SUM(O84:O86)</f>
        <v>75.84</v>
      </c>
      <c r="P87" s="41">
        <f t="shared" si="11"/>
        <v>197.53</v>
      </c>
      <c r="Q87" s="41">
        <f t="shared" si="12"/>
        <v>26.719999999999544</v>
      </c>
      <c r="R87" s="41">
        <f t="shared" si="13"/>
        <v>88.08472686733573</v>
      </c>
    </row>
    <row r="88" spans="1:18" ht="15">
      <c r="A88" s="20"/>
      <c r="B88" s="86" t="s">
        <v>228</v>
      </c>
      <c r="C88" s="59"/>
      <c r="D88" s="59"/>
      <c r="E88" s="40"/>
      <c r="F88" s="59"/>
      <c r="G88" s="59"/>
      <c r="H88" s="59"/>
      <c r="I88" s="40"/>
      <c r="J88" s="59"/>
      <c r="K88" s="59"/>
      <c r="L88" s="40"/>
      <c r="M88" s="40"/>
      <c r="N88" s="59"/>
      <c r="O88" s="59"/>
      <c r="P88" s="40"/>
      <c r="Q88" s="40"/>
      <c r="R88" s="40"/>
    </row>
    <row r="89" spans="1:18" ht="14.25">
      <c r="A89" s="20">
        <v>59</v>
      </c>
      <c r="B89" s="85" t="s">
        <v>229</v>
      </c>
      <c r="C89" s="59">
        <v>1340.93</v>
      </c>
      <c r="D89" s="59">
        <v>96.31</v>
      </c>
      <c r="E89" s="40">
        <f t="shared" si="7"/>
        <v>1437.24</v>
      </c>
      <c r="F89" s="40">
        <v>333.82</v>
      </c>
      <c r="G89" s="40">
        <v>365.19</v>
      </c>
      <c r="H89" s="40">
        <v>122</v>
      </c>
      <c r="I89" s="40">
        <f t="shared" si="8"/>
        <v>821.01</v>
      </c>
      <c r="J89" s="40">
        <v>31.98</v>
      </c>
      <c r="K89" s="40">
        <v>213</v>
      </c>
      <c r="L89" s="40">
        <f t="shared" si="9"/>
        <v>1065.99</v>
      </c>
      <c r="M89" s="40">
        <f t="shared" si="10"/>
        <v>371.25</v>
      </c>
      <c r="N89" s="40">
        <v>164.13</v>
      </c>
      <c r="O89" s="40">
        <v>62.11</v>
      </c>
      <c r="P89" s="40">
        <f t="shared" si="11"/>
        <v>226.24</v>
      </c>
      <c r="Q89" s="40">
        <f t="shared" si="12"/>
        <v>145.01</v>
      </c>
      <c r="R89" s="40">
        <f t="shared" si="13"/>
        <v>60.94006734006734</v>
      </c>
    </row>
    <row r="90" spans="1:18" ht="14.25">
      <c r="A90" s="20">
        <v>60</v>
      </c>
      <c r="B90" s="85" t="s">
        <v>230</v>
      </c>
      <c r="C90" s="59">
        <f>2111.44+452.49</f>
        <v>2563.9300000000003</v>
      </c>
      <c r="D90" s="59">
        <v>8.59</v>
      </c>
      <c r="E90" s="40">
        <f t="shared" si="7"/>
        <v>2572.5200000000004</v>
      </c>
      <c r="F90" s="59">
        <v>458.44</v>
      </c>
      <c r="G90" s="59">
        <v>457.84</v>
      </c>
      <c r="H90" s="59">
        <v>638.83</v>
      </c>
      <c r="I90" s="40">
        <f t="shared" si="8"/>
        <v>1555.1100000000001</v>
      </c>
      <c r="J90" s="59">
        <v>0</v>
      </c>
      <c r="K90" s="59">
        <v>502.53</v>
      </c>
      <c r="L90" s="40">
        <f t="shared" si="9"/>
        <v>2057.6400000000003</v>
      </c>
      <c r="M90" s="40">
        <f t="shared" si="10"/>
        <v>514.8800000000001</v>
      </c>
      <c r="N90" s="59">
        <v>359.19</v>
      </c>
      <c r="O90" s="59">
        <v>49.11</v>
      </c>
      <c r="P90" s="40">
        <f t="shared" si="11"/>
        <v>408.3</v>
      </c>
      <c r="Q90" s="40">
        <f t="shared" si="12"/>
        <v>106.5800000000001</v>
      </c>
      <c r="R90" s="40">
        <f t="shared" si="13"/>
        <v>79.30003107520197</v>
      </c>
    </row>
    <row r="91" spans="1:18" ht="14.25">
      <c r="A91" s="20">
        <v>61</v>
      </c>
      <c r="B91" s="85" t="s">
        <v>231</v>
      </c>
      <c r="C91" s="59">
        <f>1559.81+278.01</f>
        <v>1837.82</v>
      </c>
      <c r="D91" s="59">
        <v>10.37</v>
      </c>
      <c r="E91" s="40">
        <f t="shared" si="7"/>
        <v>1848.1899999999998</v>
      </c>
      <c r="F91" s="59">
        <v>1219.17</v>
      </c>
      <c r="G91" s="59">
        <v>153.86</v>
      </c>
      <c r="H91" s="59">
        <v>39.22</v>
      </c>
      <c r="I91" s="40">
        <f t="shared" si="8"/>
        <v>1412.2500000000002</v>
      </c>
      <c r="J91" s="59">
        <v>9.78</v>
      </c>
      <c r="K91" s="59">
        <v>153.57</v>
      </c>
      <c r="L91" s="40">
        <f t="shared" si="9"/>
        <v>1575.6000000000001</v>
      </c>
      <c r="M91" s="40">
        <f t="shared" si="10"/>
        <v>272.5899999999997</v>
      </c>
      <c r="N91" s="59">
        <v>89.59</v>
      </c>
      <c r="O91" s="59">
        <v>34.17</v>
      </c>
      <c r="P91" s="40">
        <f t="shared" si="11"/>
        <v>123.76</v>
      </c>
      <c r="Q91" s="40">
        <f t="shared" si="12"/>
        <v>148.8299999999997</v>
      </c>
      <c r="R91" s="40">
        <f t="shared" si="13"/>
        <v>45.40151876444482</v>
      </c>
    </row>
    <row r="92" spans="1:18" s="63" customFormat="1" ht="15">
      <c r="A92" s="21"/>
      <c r="B92" s="7" t="s">
        <v>35</v>
      </c>
      <c r="C92" s="60">
        <f>SUM(C89:C91)</f>
        <v>5742.68</v>
      </c>
      <c r="D92" s="60">
        <f>SUM(D89:D91)</f>
        <v>115.27000000000001</v>
      </c>
      <c r="E92" s="41">
        <f t="shared" si="7"/>
        <v>5857.950000000001</v>
      </c>
      <c r="F92" s="60">
        <f>SUM(F89:F91)</f>
        <v>2011.43</v>
      </c>
      <c r="G92" s="60">
        <f>SUM(G89:G91)</f>
        <v>976.89</v>
      </c>
      <c r="H92" s="60">
        <f>SUM(H89:H91)</f>
        <v>800.0500000000001</v>
      </c>
      <c r="I92" s="41">
        <f t="shared" si="8"/>
        <v>3788.3700000000003</v>
      </c>
      <c r="J92" s="60">
        <f>SUM(J89:J91)</f>
        <v>41.76</v>
      </c>
      <c r="K92" s="60">
        <f>SUM(K89:K91)</f>
        <v>869.0999999999999</v>
      </c>
      <c r="L92" s="41">
        <f t="shared" si="9"/>
        <v>4699.2300000000005</v>
      </c>
      <c r="M92" s="41">
        <f t="shared" si="10"/>
        <v>1158.7200000000003</v>
      </c>
      <c r="N92" s="60">
        <f>SUM(N89:N91)</f>
        <v>612.91</v>
      </c>
      <c r="O92" s="60">
        <f>SUM(O89:O91)</f>
        <v>145.39</v>
      </c>
      <c r="P92" s="41">
        <f t="shared" si="11"/>
        <v>758.3</v>
      </c>
      <c r="Q92" s="41">
        <f t="shared" si="12"/>
        <v>400.4200000000003</v>
      </c>
      <c r="R92" s="41">
        <f t="shared" si="13"/>
        <v>65.4429025131179</v>
      </c>
    </row>
    <row r="93" spans="1:18" ht="15">
      <c r="A93" s="20"/>
      <c r="B93" s="86" t="s">
        <v>232</v>
      </c>
      <c r="C93" s="59"/>
      <c r="D93" s="59"/>
      <c r="E93" s="40"/>
      <c r="F93" s="59"/>
      <c r="G93" s="59"/>
      <c r="H93" s="59"/>
      <c r="I93" s="40"/>
      <c r="J93" s="59"/>
      <c r="K93" s="59"/>
      <c r="L93" s="40"/>
      <c r="M93" s="40"/>
      <c r="N93" s="59"/>
      <c r="O93" s="59"/>
      <c r="P93" s="40"/>
      <c r="Q93" s="40"/>
      <c r="R93" s="40"/>
    </row>
    <row r="94" spans="1:18" ht="14.25">
      <c r="A94" s="20">
        <v>62</v>
      </c>
      <c r="B94" s="85" t="s">
        <v>233</v>
      </c>
      <c r="C94" s="59">
        <f>1999.54+312.2</f>
        <v>2311.74</v>
      </c>
      <c r="D94" s="59">
        <v>33.14</v>
      </c>
      <c r="E94" s="40">
        <f t="shared" si="7"/>
        <v>2344.8799999999997</v>
      </c>
      <c r="F94" s="59">
        <v>809.71</v>
      </c>
      <c r="G94" s="59">
        <v>220.87</v>
      </c>
      <c r="H94" s="59">
        <v>289.84</v>
      </c>
      <c r="I94" s="40">
        <f t="shared" si="8"/>
        <v>1320.4199999999998</v>
      </c>
      <c r="J94" s="59">
        <v>70.46</v>
      </c>
      <c r="K94" s="59">
        <v>556.49</v>
      </c>
      <c r="L94" s="40">
        <f t="shared" si="9"/>
        <v>1947.37</v>
      </c>
      <c r="M94" s="40">
        <f t="shared" si="10"/>
        <v>397.50999999999976</v>
      </c>
      <c r="N94" s="59">
        <v>89.94</v>
      </c>
      <c r="O94" s="59">
        <v>66.27</v>
      </c>
      <c r="P94" s="40">
        <f t="shared" si="11"/>
        <v>156.20999999999998</v>
      </c>
      <c r="Q94" s="40">
        <f t="shared" si="12"/>
        <v>241.29999999999978</v>
      </c>
      <c r="R94" s="40">
        <f t="shared" si="13"/>
        <v>39.297124600638995</v>
      </c>
    </row>
    <row r="95" spans="1:18" ht="14.25">
      <c r="A95" s="20">
        <v>63</v>
      </c>
      <c r="B95" s="85" t="s">
        <v>234</v>
      </c>
      <c r="C95" s="59">
        <f>547.72+252.13</f>
        <v>799.85</v>
      </c>
      <c r="D95" s="59">
        <v>100.7</v>
      </c>
      <c r="E95" s="40">
        <f t="shared" si="7"/>
        <v>900.5500000000001</v>
      </c>
      <c r="F95" s="59">
        <v>266.98</v>
      </c>
      <c r="G95" s="59">
        <v>188.6</v>
      </c>
      <c r="H95" s="59">
        <v>26.05</v>
      </c>
      <c r="I95" s="40">
        <f t="shared" si="8"/>
        <v>481.63000000000005</v>
      </c>
      <c r="J95" s="59">
        <v>1.79</v>
      </c>
      <c r="K95" s="59">
        <v>131.92</v>
      </c>
      <c r="L95" s="40">
        <f t="shared" si="9"/>
        <v>615.34</v>
      </c>
      <c r="M95" s="40">
        <f t="shared" si="10"/>
        <v>285.21000000000004</v>
      </c>
      <c r="N95" s="59">
        <v>58.86</v>
      </c>
      <c r="O95" s="59">
        <v>106.17</v>
      </c>
      <c r="P95" s="40">
        <f t="shared" si="11"/>
        <v>165.03</v>
      </c>
      <c r="Q95" s="40">
        <f t="shared" si="12"/>
        <v>120.18000000000004</v>
      </c>
      <c r="R95" s="40">
        <f t="shared" si="13"/>
        <v>57.86262753760386</v>
      </c>
    </row>
    <row r="96" spans="1:18" s="63" customFormat="1" ht="15">
      <c r="A96" s="21"/>
      <c r="B96" s="7" t="s">
        <v>35</v>
      </c>
      <c r="C96" s="60">
        <f>SUM(C94:C95)</f>
        <v>3111.5899999999997</v>
      </c>
      <c r="D96" s="60">
        <f>SUM(D94:D95)</f>
        <v>133.84</v>
      </c>
      <c r="E96" s="41">
        <f t="shared" si="7"/>
        <v>3245.43</v>
      </c>
      <c r="F96" s="60">
        <f>SUM(F94:F95)</f>
        <v>1076.69</v>
      </c>
      <c r="G96" s="60">
        <f>SUM(G94:G95)</f>
        <v>409.47</v>
      </c>
      <c r="H96" s="60">
        <f>SUM(H94:H95)</f>
        <v>315.89</v>
      </c>
      <c r="I96" s="41">
        <f t="shared" si="8"/>
        <v>1802.0500000000002</v>
      </c>
      <c r="J96" s="60">
        <f>SUM(J94:J95)</f>
        <v>72.25</v>
      </c>
      <c r="K96" s="60">
        <f>SUM(K94:K95)</f>
        <v>688.41</v>
      </c>
      <c r="L96" s="41">
        <f t="shared" si="9"/>
        <v>2562.71</v>
      </c>
      <c r="M96" s="41">
        <f t="shared" si="10"/>
        <v>682.7199999999998</v>
      </c>
      <c r="N96" s="60">
        <f>SUM(N94:N95)</f>
        <v>148.8</v>
      </c>
      <c r="O96" s="60">
        <f>SUM(O94:O95)</f>
        <v>172.44</v>
      </c>
      <c r="P96" s="41">
        <f t="shared" si="11"/>
        <v>321.24</v>
      </c>
      <c r="Q96" s="41">
        <f t="shared" si="12"/>
        <v>361.4799999999998</v>
      </c>
      <c r="R96" s="41">
        <f t="shared" si="13"/>
        <v>47.05296461213969</v>
      </c>
    </row>
  </sheetData>
  <mergeCells count="19">
    <mergeCell ref="R4:R5"/>
    <mergeCell ref="N4:N5"/>
    <mergeCell ref="O4:O5"/>
    <mergeCell ref="P4:P5"/>
    <mergeCell ref="Q4:Q5"/>
    <mergeCell ref="J4:J5"/>
    <mergeCell ref="K4:K5"/>
    <mergeCell ref="L4:L5"/>
    <mergeCell ref="M4:M5"/>
    <mergeCell ref="B1:R1"/>
    <mergeCell ref="B2:R2"/>
    <mergeCell ref="B3:R3"/>
    <mergeCell ref="A4:A5"/>
    <mergeCell ref="B4:B5"/>
    <mergeCell ref="C4:C5"/>
    <mergeCell ref="D4:D5"/>
    <mergeCell ref="E4:E5"/>
    <mergeCell ref="F4:H4"/>
    <mergeCell ref="I4:I5"/>
  </mergeCells>
  <printOptions/>
  <pageMargins left="0.31" right="0.23" top="1" bottom="1" header="0.5" footer="0.5"/>
  <pageSetup horizontalDpi="300" verticalDpi="3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H13" sqref="H13"/>
    </sheetView>
  </sheetViews>
  <sheetFormatPr defaultColWidth="9.140625" defaultRowHeight="12.75"/>
  <cols>
    <col min="1" max="1" width="3.00390625" style="0" customWidth="1"/>
    <col min="2" max="2" width="17.7109375" style="0" customWidth="1"/>
    <col min="3" max="3" width="9.57421875" style="0" customWidth="1"/>
    <col min="4" max="4" width="9.28125" style="0" customWidth="1"/>
    <col min="5" max="5" width="10.421875" style="0" customWidth="1"/>
    <col min="6" max="6" width="9.421875" style="0" customWidth="1"/>
    <col min="7" max="7" width="9.7109375" style="0" customWidth="1"/>
    <col min="8" max="8" width="8.7109375" style="0" customWidth="1"/>
    <col min="9" max="9" width="10.7109375" style="0" customWidth="1"/>
    <col min="10" max="10" width="8.28125" style="0" customWidth="1"/>
    <col min="11" max="11" width="9.28125" style="0" customWidth="1"/>
    <col min="12" max="12" width="10.57421875" style="0" customWidth="1"/>
    <col min="13" max="13" width="9.28125" style="0" customWidth="1"/>
    <col min="14" max="14" width="8.421875" style="0" customWidth="1"/>
    <col min="15" max="15" width="7.57421875" style="0" customWidth="1"/>
    <col min="16" max="16" width="9.421875" style="0" customWidth="1"/>
    <col min="17" max="17" width="8.421875" style="0" customWidth="1"/>
    <col min="18" max="18" width="6.421875" style="0" customWidth="1"/>
  </cols>
  <sheetData>
    <row r="1" spans="2:18" ht="18">
      <c r="B1" s="157" t="s">
        <v>236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2:18" ht="18">
      <c r="B2" s="157" t="s">
        <v>235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2:18" ht="15.75">
      <c r="B3" s="158" t="s">
        <v>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ht="12.75">
      <c r="A4" s="199" t="s">
        <v>156</v>
      </c>
      <c r="B4" s="147" t="s">
        <v>3</v>
      </c>
      <c r="C4" s="153" t="s">
        <v>157</v>
      </c>
      <c r="D4" s="153" t="s">
        <v>5</v>
      </c>
      <c r="E4" s="153" t="s">
        <v>6</v>
      </c>
      <c r="F4" s="152" t="s">
        <v>7</v>
      </c>
      <c r="G4" s="152"/>
      <c r="H4" s="152"/>
      <c r="I4" s="153" t="s">
        <v>8</v>
      </c>
      <c r="J4" s="147" t="s">
        <v>9</v>
      </c>
      <c r="K4" s="147" t="s">
        <v>38</v>
      </c>
      <c r="L4" s="150" t="s">
        <v>11</v>
      </c>
      <c r="M4" s="147" t="s">
        <v>39</v>
      </c>
      <c r="N4" s="147" t="s">
        <v>13</v>
      </c>
      <c r="O4" s="147" t="s">
        <v>14</v>
      </c>
      <c r="P4" s="147" t="s">
        <v>15</v>
      </c>
      <c r="Q4" s="147" t="s">
        <v>16</v>
      </c>
      <c r="R4" s="147" t="s">
        <v>17</v>
      </c>
    </row>
    <row r="5" spans="1:18" ht="103.5" customHeight="1">
      <c r="A5" s="199"/>
      <c r="B5" s="147"/>
      <c r="C5" s="155"/>
      <c r="D5" s="156"/>
      <c r="E5" s="154"/>
      <c r="F5" s="19" t="s">
        <v>18</v>
      </c>
      <c r="G5" s="19" t="s">
        <v>19</v>
      </c>
      <c r="H5" s="19" t="s">
        <v>20</v>
      </c>
      <c r="I5" s="154"/>
      <c r="J5" s="147"/>
      <c r="K5" s="147"/>
      <c r="L5" s="151"/>
      <c r="M5" s="147"/>
      <c r="N5" s="147"/>
      <c r="O5" s="147"/>
      <c r="P5" s="147"/>
      <c r="Q5" s="147"/>
      <c r="R5" s="147"/>
    </row>
    <row r="6" spans="1:18" s="33" customFormat="1" ht="18" customHeight="1">
      <c r="A6" s="72">
        <v>1</v>
      </c>
      <c r="B6" s="87" t="s">
        <v>159</v>
      </c>
      <c r="C6" s="40">
        <f>12898.61+1737.73</f>
        <v>14636.34</v>
      </c>
      <c r="D6" s="40">
        <v>159.87</v>
      </c>
      <c r="E6" s="40">
        <f>C6+D6</f>
        <v>14796.210000000001</v>
      </c>
      <c r="F6" s="40">
        <v>3764.4</v>
      </c>
      <c r="G6" s="40">
        <v>5597.39</v>
      </c>
      <c r="H6" s="40">
        <v>337.67</v>
      </c>
      <c r="I6" s="40">
        <f>F6+G6+H6</f>
        <v>9699.460000000001</v>
      </c>
      <c r="J6" s="40">
        <v>736.06</v>
      </c>
      <c r="K6" s="40">
        <v>2646.64</v>
      </c>
      <c r="L6" s="40">
        <f>I6+J6+K6</f>
        <v>13082.16</v>
      </c>
      <c r="M6" s="40">
        <f>E6-L6</f>
        <v>1714.050000000001</v>
      </c>
      <c r="N6" s="40">
        <v>926.22</v>
      </c>
      <c r="O6" s="40">
        <v>500.65</v>
      </c>
      <c r="P6" s="40">
        <f>N6+O6</f>
        <v>1426.87</v>
      </c>
      <c r="Q6" s="40">
        <f>M6-P6</f>
        <v>287.1800000000012</v>
      </c>
      <c r="R6" s="40">
        <f>P6/M6*100</f>
        <v>83.2455295936524</v>
      </c>
    </row>
    <row r="7" spans="1:18" s="33" customFormat="1" ht="18" customHeight="1">
      <c r="A7" s="72">
        <v>2</v>
      </c>
      <c r="B7" s="87" t="s">
        <v>160</v>
      </c>
      <c r="C7" s="40">
        <f>2068.08+770.67</f>
        <v>2838.75</v>
      </c>
      <c r="D7" s="40">
        <v>54.09</v>
      </c>
      <c r="E7" s="40">
        <f aca="true" t="shared" si="0" ref="E7:E25">C7+D7</f>
        <v>2892.84</v>
      </c>
      <c r="F7" s="40">
        <v>1306.18</v>
      </c>
      <c r="G7" s="40">
        <v>290.11</v>
      </c>
      <c r="H7" s="40">
        <v>61.82</v>
      </c>
      <c r="I7" s="40">
        <f aca="true" t="shared" si="1" ref="I7:I25">F7+G7+H7</f>
        <v>1658.11</v>
      </c>
      <c r="J7" s="40">
        <v>7.64</v>
      </c>
      <c r="K7" s="40">
        <v>639.53</v>
      </c>
      <c r="L7" s="40">
        <f aca="true" t="shared" si="2" ref="L7:L25">I7+J7+K7</f>
        <v>2305.2799999999997</v>
      </c>
      <c r="M7" s="40">
        <f aca="true" t="shared" si="3" ref="M7:M25">E7-L7</f>
        <v>587.5600000000004</v>
      </c>
      <c r="N7" s="40">
        <v>320.56</v>
      </c>
      <c r="O7" s="40">
        <v>62.77</v>
      </c>
      <c r="P7" s="40">
        <f aca="true" t="shared" si="4" ref="P7:P25">N7+O7</f>
        <v>383.33</v>
      </c>
      <c r="Q7" s="40">
        <f aca="true" t="shared" si="5" ref="Q7:Q25">M7-P7</f>
        <v>204.23000000000042</v>
      </c>
      <c r="R7" s="40">
        <f aca="true" t="shared" si="6" ref="R7:R25">P7/M7*100</f>
        <v>65.24099666417042</v>
      </c>
    </row>
    <row r="8" spans="1:18" s="33" customFormat="1" ht="18" customHeight="1">
      <c r="A8" s="72">
        <v>3</v>
      </c>
      <c r="B8" s="87" t="s">
        <v>161</v>
      </c>
      <c r="C8" s="40">
        <f>749.77+232.57</f>
        <v>982.3399999999999</v>
      </c>
      <c r="D8" s="40">
        <v>480.94</v>
      </c>
      <c r="E8" s="40">
        <f t="shared" si="0"/>
        <v>1463.28</v>
      </c>
      <c r="F8" s="40">
        <v>319.72</v>
      </c>
      <c r="G8" s="40">
        <v>368.38</v>
      </c>
      <c r="H8" s="40">
        <v>20</v>
      </c>
      <c r="I8" s="40">
        <f t="shared" si="1"/>
        <v>708.1</v>
      </c>
      <c r="J8" s="40">
        <v>0</v>
      </c>
      <c r="K8" s="40">
        <v>216.54</v>
      </c>
      <c r="L8" s="40">
        <f t="shared" si="2"/>
        <v>924.64</v>
      </c>
      <c r="M8" s="40">
        <f t="shared" si="3"/>
        <v>538.64</v>
      </c>
      <c r="N8" s="40">
        <v>284.42</v>
      </c>
      <c r="O8" s="40">
        <v>101.98</v>
      </c>
      <c r="P8" s="40">
        <f t="shared" si="4"/>
        <v>386.40000000000003</v>
      </c>
      <c r="Q8" s="40">
        <f t="shared" si="5"/>
        <v>152.23999999999995</v>
      </c>
      <c r="R8" s="40">
        <f t="shared" si="6"/>
        <v>71.73622456557256</v>
      </c>
    </row>
    <row r="9" spans="1:18" ht="18" customHeight="1">
      <c r="A9" s="20">
        <v>4</v>
      </c>
      <c r="B9" s="88" t="s">
        <v>164</v>
      </c>
      <c r="C9" s="40">
        <f>12474.38+17515.99</f>
        <v>29990.370000000003</v>
      </c>
      <c r="D9" s="40">
        <v>453.08</v>
      </c>
      <c r="E9" s="40">
        <f t="shared" si="0"/>
        <v>30443.450000000004</v>
      </c>
      <c r="F9" s="40">
        <v>3246.44</v>
      </c>
      <c r="G9" s="40">
        <v>18806.25</v>
      </c>
      <c r="H9" s="40">
        <v>5134.32</v>
      </c>
      <c r="I9" s="40">
        <f t="shared" si="1"/>
        <v>27187.01</v>
      </c>
      <c r="J9" s="40">
        <v>0</v>
      </c>
      <c r="K9" s="40">
        <v>1789.81</v>
      </c>
      <c r="L9" s="40">
        <f t="shared" si="2"/>
        <v>28976.82</v>
      </c>
      <c r="M9" s="40">
        <f t="shared" si="3"/>
        <v>1466.6300000000047</v>
      </c>
      <c r="N9" s="40">
        <v>1046.22</v>
      </c>
      <c r="O9" s="40">
        <v>277.8</v>
      </c>
      <c r="P9" s="40">
        <f t="shared" si="4"/>
        <v>1324.02</v>
      </c>
      <c r="Q9" s="40">
        <f t="shared" si="5"/>
        <v>142.61000000000467</v>
      </c>
      <c r="R9" s="40">
        <f t="shared" si="6"/>
        <v>90.27634781778606</v>
      </c>
    </row>
    <row r="10" spans="1:18" ht="18" customHeight="1">
      <c r="A10" s="20">
        <v>5</v>
      </c>
      <c r="B10" s="88" t="s">
        <v>237</v>
      </c>
      <c r="C10" s="40">
        <v>2733.09</v>
      </c>
      <c r="D10" s="40">
        <v>50.86</v>
      </c>
      <c r="E10" s="40">
        <f t="shared" si="0"/>
        <v>2783.9500000000003</v>
      </c>
      <c r="F10" s="40">
        <v>143.48</v>
      </c>
      <c r="G10" s="40">
        <v>213.81</v>
      </c>
      <c r="H10" s="40">
        <v>62.87</v>
      </c>
      <c r="I10" s="40">
        <f t="shared" si="1"/>
        <v>420.15999999999997</v>
      </c>
      <c r="J10" s="40">
        <v>1464.68</v>
      </c>
      <c r="K10" s="40">
        <v>634.43</v>
      </c>
      <c r="L10" s="40">
        <f t="shared" si="2"/>
        <v>2519.27</v>
      </c>
      <c r="M10" s="40">
        <f t="shared" si="3"/>
        <v>264.6800000000003</v>
      </c>
      <c r="N10" s="40">
        <v>157.34</v>
      </c>
      <c r="O10" s="40">
        <v>57.6</v>
      </c>
      <c r="P10" s="40">
        <f t="shared" si="4"/>
        <v>214.94</v>
      </c>
      <c r="Q10" s="40">
        <f t="shared" si="5"/>
        <v>49.74000000000029</v>
      </c>
      <c r="R10" s="40">
        <f t="shared" si="6"/>
        <v>81.207495844038</v>
      </c>
    </row>
    <row r="11" spans="1:18" ht="18" customHeight="1">
      <c r="A11" s="20">
        <v>6</v>
      </c>
      <c r="B11" s="88" t="s">
        <v>180</v>
      </c>
      <c r="C11" s="40">
        <v>1839.87</v>
      </c>
      <c r="D11" s="40">
        <v>322.27</v>
      </c>
      <c r="E11" s="40">
        <f t="shared" si="0"/>
        <v>2162.14</v>
      </c>
      <c r="F11" s="40">
        <v>760.92</v>
      </c>
      <c r="G11" s="40">
        <v>762.16</v>
      </c>
      <c r="H11" s="40">
        <v>12.02</v>
      </c>
      <c r="I11" s="40">
        <f t="shared" si="1"/>
        <v>1535.1</v>
      </c>
      <c r="J11" s="40">
        <v>0</v>
      </c>
      <c r="K11" s="40">
        <v>227.24</v>
      </c>
      <c r="L11" s="40">
        <f t="shared" si="2"/>
        <v>1762.34</v>
      </c>
      <c r="M11" s="40">
        <f t="shared" si="3"/>
        <v>399.79999999999995</v>
      </c>
      <c r="N11" s="40">
        <v>233.52</v>
      </c>
      <c r="O11" s="40">
        <v>107.53</v>
      </c>
      <c r="P11" s="40">
        <f t="shared" si="4"/>
        <v>341.05</v>
      </c>
      <c r="Q11" s="40">
        <f t="shared" si="5"/>
        <v>58.74999999999994</v>
      </c>
      <c r="R11" s="40">
        <f t="shared" si="6"/>
        <v>85.30515257628815</v>
      </c>
    </row>
    <row r="12" spans="1:18" ht="18" customHeight="1">
      <c r="A12" s="20">
        <v>7</v>
      </c>
      <c r="B12" s="88" t="s">
        <v>185</v>
      </c>
      <c r="C12" s="40">
        <v>3240.17</v>
      </c>
      <c r="D12" s="40">
        <v>234.99</v>
      </c>
      <c r="E12" s="40">
        <f t="shared" si="0"/>
        <v>3475.16</v>
      </c>
      <c r="F12" s="40">
        <v>74.8</v>
      </c>
      <c r="G12" s="40">
        <v>958.66</v>
      </c>
      <c r="H12" s="40">
        <v>222.71</v>
      </c>
      <c r="I12" s="40">
        <f t="shared" si="1"/>
        <v>1256.17</v>
      </c>
      <c r="J12" s="40">
        <v>957.37</v>
      </c>
      <c r="K12" s="40">
        <v>606.91</v>
      </c>
      <c r="L12" s="40">
        <f t="shared" si="2"/>
        <v>2820.45</v>
      </c>
      <c r="M12" s="40">
        <f t="shared" si="3"/>
        <v>654.71</v>
      </c>
      <c r="N12" s="40">
        <v>310.64</v>
      </c>
      <c r="O12" s="40">
        <v>290.01</v>
      </c>
      <c r="P12" s="40">
        <f t="shared" si="4"/>
        <v>600.65</v>
      </c>
      <c r="Q12" s="40">
        <f t="shared" si="5"/>
        <v>54.06000000000006</v>
      </c>
      <c r="R12" s="40">
        <f t="shared" si="6"/>
        <v>91.7429090742466</v>
      </c>
    </row>
    <row r="13" spans="1:18" ht="18" customHeight="1">
      <c r="A13" s="20">
        <v>8</v>
      </c>
      <c r="B13" s="88" t="s">
        <v>238</v>
      </c>
      <c r="C13" s="40">
        <f>2231.05+1002.94</f>
        <v>3233.9900000000002</v>
      </c>
      <c r="D13" s="40">
        <v>47.59</v>
      </c>
      <c r="E13" s="40">
        <f t="shared" si="0"/>
        <v>3281.5800000000004</v>
      </c>
      <c r="F13" s="40">
        <v>299.74</v>
      </c>
      <c r="G13" s="40">
        <v>288.04</v>
      </c>
      <c r="H13" s="40">
        <v>1672.32</v>
      </c>
      <c r="I13" s="40">
        <f t="shared" si="1"/>
        <v>2260.1</v>
      </c>
      <c r="J13" s="40">
        <v>0</v>
      </c>
      <c r="K13" s="40">
        <v>638.07</v>
      </c>
      <c r="L13" s="40">
        <f t="shared" si="2"/>
        <v>2898.17</v>
      </c>
      <c r="M13" s="40">
        <f t="shared" si="3"/>
        <v>383.4100000000003</v>
      </c>
      <c r="N13" s="40">
        <v>261.52</v>
      </c>
      <c r="O13" s="40">
        <v>59.32</v>
      </c>
      <c r="P13" s="40">
        <f t="shared" si="4"/>
        <v>320.84</v>
      </c>
      <c r="Q13" s="40">
        <f t="shared" si="5"/>
        <v>62.570000000000334</v>
      </c>
      <c r="R13" s="40">
        <f t="shared" si="6"/>
        <v>83.68065517331308</v>
      </c>
    </row>
    <row r="14" spans="1:18" ht="18" customHeight="1">
      <c r="A14" s="20">
        <v>9</v>
      </c>
      <c r="B14" s="88" t="s">
        <v>239</v>
      </c>
      <c r="C14" s="40">
        <f>2582.08+1105.81</f>
        <v>3687.89</v>
      </c>
      <c r="D14" s="40">
        <v>0</v>
      </c>
      <c r="E14" s="40">
        <f t="shared" si="0"/>
        <v>3687.89</v>
      </c>
      <c r="F14" s="40">
        <v>2578.16</v>
      </c>
      <c r="G14" s="40">
        <v>66.31</v>
      </c>
      <c r="H14" s="40">
        <v>2.95</v>
      </c>
      <c r="I14" s="40">
        <f t="shared" si="1"/>
        <v>2647.4199999999996</v>
      </c>
      <c r="J14" s="40">
        <v>759.09</v>
      </c>
      <c r="K14" s="40">
        <v>136.19</v>
      </c>
      <c r="L14" s="40">
        <f t="shared" si="2"/>
        <v>3542.7</v>
      </c>
      <c r="M14" s="40">
        <f t="shared" si="3"/>
        <v>145.19000000000005</v>
      </c>
      <c r="N14" s="40">
        <v>86.07</v>
      </c>
      <c r="O14" s="40">
        <v>42.51</v>
      </c>
      <c r="P14" s="40">
        <f t="shared" si="4"/>
        <v>128.57999999999998</v>
      </c>
      <c r="Q14" s="40">
        <f t="shared" si="5"/>
        <v>16.61000000000007</v>
      </c>
      <c r="R14" s="40">
        <f t="shared" si="6"/>
        <v>88.55981816929535</v>
      </c>
    </row>
    <row r="15" spans="1:18" ht="18" customHeight="1">
      <c r="A15" s="20">
        <v>10</v>
      </c>
      <c r="B15" s="88" t="s">
        <v>198</v>
      </c>
      <c r="C15" s="40">
        <f>27520.1+4605.47</f>
        <v>32125.57</v>
      </c>
      <c r="D15" s="40">
        <v>188.81</v>
      </c>
      <c r="E15" s="40">
        <f t="shared" si="0"/>
        <v>32314.38</v>
      </c>
      <c r="F15" s="40">
        <v>16561.13</v>
      </c>
      <c r="G15" s="40">
        <v>1431.46</v>
      </c>
      <c r="H15" s="40">
        <v>8199.35</v>
      </c>
      <c r="I15" s="40">
        <f t="shared" si="1"/>
        <v>26191.940000000002</v>
      </c>
      <c r="J15" s="40">
        <v>0</v>
      </c>
      <c r="K15" s="40">
        <v>1493.7</v>
      </c>
      <c r="L15" s="40">
        <f t="shared" si="2"/>
        <v>27685.640000000003</v>
      </c>
      <c r="M15" s="40">
        <f t="shared" si="3"/>
        <v>4628.739999999998</v>
      </c>
      <c r="N15" s="40">
        <v>2664.37</v>
      </c>
      <c r="O15" s="40">
        <v>264.75</v>
      </c>
      <c r="P15" s="40">
        <f t="shared" si="4"/>
        <v>2929.12</v>
      </c>
      <c r="Q15" s="40">
        <f t="shared" si="5"/>
        <v>1699.619999999998</v>
      </c>
      <c r="R15" s="40">
        <f t="shared" si="6"/>
        <v>63.281152106188756</v>
      </c>
    </row>
    <row r="16" spans="1:18" ht="18" customHeight="1">
      <c r="A16" s="20">
        <v>11</v>
      </c>
      <c r="B16" s="88" t="s">
        <v>199</v>
      </c>
      <c r="C16" s="40">
        <f>5247.89+515.6</f>
        <v>5763.490000000001</v>
      </c>
      <c r="D16" s="40">
        <v>70.91</v>
      </c>
      <c r="E16" s="40">
        <f t="shared" si="0"/>
        <v>5834.400000000001</v>
      </c>
      <c r="F16" s="40">
        <v>1408.52</v>
      </c>
      <c r="G16" s="40">
        <v>29.66</v>
      </c>
      <c r="H16" s="40">
        <v>771.09</v>
      </c>
      <c r="I16" s="40">
        <f t="shared" si="1"/>
        <v>2209.27</v>
      </c>
      <c r="J16" s="40">
        <v>0</v>
      </c>
      <c r="K16" s="40">
        <v>2062.54</v>
      </c>
      <c r="L16" s="40">
        <f t="shared" si="2"/>
        <v>4271.8099999999995</v>
      </c>
      <c r="M16" s="40">
        <f t="shared" si="3"/>
        <v>1562.590000000001</v>
      </c>
      <c r="N16" s="40">
        <v>416.15</v>
      </c>
      <c r="O16" s="40">
        <v>312.43</v>
      </c>
      <c r="P16" s="40">
        <f t="shared" si="4"/>
        <v>728.5799999999999</v>
      </c>
      <c r="Q16" s="40">
        <f t="shared" si="5"/>
        <v>834.0100000000011</v>
      </c>
      <c r="R16" s="40">
        <f t="shared" si="6"/>
        <v>46.62643431738328</v>
      </c>
    </row>
    <row r="17" spans="1:18" ht="18" customHeight="1">
      <c r="A17" s="20">
        <v>12</v>
      </c>
      <c r="B17" s="88" t="s">
        <v>197</v>
      </c>
      <c r="C17" s="40">
        <f>3297.02+4684.56</f>
        <v>7981.58</v>
      </c>
      <c r="D17" s="40">
        <v>106.81</v>
      </c>
      <c r="E17" s="40">
        <f t="shared" si="0"/>
        <v>8088.39</v>
      </c>
      <c r="F17" s="40">
        <v>1191.57</v>
      </c>
      <c r="G17" s="40">
        <v>1268.39</v>
      </c>
      <c r="H17" s="40">
        <v>311.46</v>
      </c>
      <c r="I17" s="40">
        <f t="shared" si="1"/>
        <v>2771.42</v>
      </c>
      <c r="J17" s="40">
        <v>1.99</v>
      </c>
      <c r="K17" s="40">
        <v>4681.19</v>
      </c>
      <c r="L17" s="40">
        <f t="shared" si="2"/>
        <v>7454.599999999999</v>
      </c>
      <c r="M17" s="40">
        <f t="shared" si="3"/>
        <v>633.7900000000009</v>
      </c>
      <c r="N17" s="40">
        <v>342.37</v>
      </c>
      <c r="O17" s="40">
        <v>46.6</v>
      </c>
      <c r="P17" s="40">
        <f t="shared" si="4"/>
        <v>388.97</v>
      </c>
      <c r="Q17" s="40">
        <f t="shared" si="5"/>
        <v>244.82000000000085</v>
      </c>
      <c r="R17" s="40">
        <f t="shared" si="6"/>
        <v>61.37206330172447</v>
      </c>
    </row>
    <row r="18" spans="1:18" ht="18" customHeight="1">
      <c r="A18" s="20">
        <v>13</v>
      </c>
      <c r="B18" s="88" t="s">
        <v>240</v>
      </c>
      <c r="C18" s="40">
        <v>9417.8</v>
      </c>
      <c r="D18" s="40">
        <v>100.73</v>
      </c>
      <c r="E18" s="40">
        <f t="shared" si="0"/>
        <v>9518.529999999999</v>
      </c>
      <c r="F18" s="40">
        <v>3100.59</v>
      </c>
      <c r="G18" s="40">
        <v>1780.21</v>
      </c>
      <c r="H18" s="40">
        <v>1988.22</v>
      </c>
      <c r="I18" s="40">
        <f t="shared" si="1"/>
        <v>6869.02</v>
      </c>
      <c r="J18" s="40">
        <v>0</v>
      </c>
      <c r="K18" s="40">
        <v>780.82</v>
      </c>
      <c r="L18" s="40">
        <f t="shared" si="2"/>
        <v>7649.84</v>
      </c>
      <c r="M18" s="40">
        <f t="shared" si="3"/>
        <v>1868.6899999999987</v>
      </c>
      <c r="N18" s="40">
        <v>893.24</v>
      </c>
      <c r="O18" s="40">
        <v>179.27</v>
      </c>
      <c r="P18" s="40">
        <f t="shared" si="4"/>
        <v>1072.51</v>
      </c>
      <c r="Q18" s="40">
        <f t="shared" si="5"/>
        <v>796.1799999999987</v>
      </c>
      <c r="R18" s="40">
        <f t="shared" si="6"/>
        <v>57.39368220518121</v>
      </c>
    </row>
    <row r="19" spans="1:18" ht="18" customHeight="1">
      <c r="A19" s="20">
        <v>14</v>
      </c>
      <c r="B19" s="88" t="s">
        <v>210</v>
      </c>
      <c r="C19" s="40">
        <f>18640.36+6471.7</f>
        <v>25112.06</v>
      </c>
      <c r="D19" s="40">
        <v>8738.8</v>
      </c>
      <c r="E19" s="40">
        <f t="shared" si="0"/>
        <v>33850.86</v>
      </c>
      <c r="F19" s="40">
        <v>15055.65</v>
      </c>
      <c r="G19" s="40">
        <v>472.23</v>
      </c>
      <c r="H19" s="40">
        <v>698.82</v>
      </c>
      <c r="I19" s="40">
        <f t="shared" si="1"/>
        <v>16226.699999999999</v>
      </c>
      <c r="J19" s="40">
        <v>0</v>
      </c>
      <c r="K19" s="40">
        <v>17039.44</v>
      </c>
      <c r="L19" s="40">
        <f t="shared" si="2"/>
        <v>33266.14</v>
      </c>
      <c r="M19" s="40">
        <f t="shared" si="3"/>
        <v>584.7200000000012</v>
      </c>
      <c r="N19" s="40">
        <v>277.68</v>
      </c>
      <c r="O19" s="40">
        <v>62.41</v>
      </c>
      <c r="P19" s="40">
        <f t="shared" si="4"/>
        <v>340.09000000000003</v>
      </c>
      <c r="Q19" s="40">
        <f t="shared" si="5"/>
        <v>244.63000000000113</v>
      </c>
      <c r="R19" s="40">
        <f t="shared" si="6"/>
        <v>58.16288137912152</v>
      </c>
    </row>
    <row r="20" spans="1:18" ht="18" customHeight="1">
      <c r="A20" s="20">
        <v>15</v>
      </c>
      <c r="B20" s="88" t="s">
        <v>208</v>
      </c>
      <c r="C20" s="40">
        <f>1689.89+1770.29</f>
        <v>3460.1800000000003</v>
      </c>
      <c r="D20" s="40">
        <v>5.29</v>
      </c>
      <c r="E20" s="40">
        <f t="shared" si="0"/>
        <v>3465.4700000000003</v>
      </c>
      <c r="F20" s="40">
        <v>1159.74</v>
      </c>
      <c r="G20" s="40">
        <v>271.04</v>
      </c>
      <c r="H20" s="40">
        <v>338.59</v>
      </c>
      <c r="I20" s="40">
        <f t="shared" si="1"/>
        <v>1769.37</v>
      </c>
      <c r="J20" s="40">
        <v>3.76</v>
      </c>
      <c r="K20" s="40">
        <v>1233.79</v>
      </c>
      <c r="L20" s="40">
        <f t="shared" si="2"/>
        <v>3006.92</v>
      </c>
      <c r="M20" s="40">
        <f t="shared" si="3"/>
        <v>458.5500000000002</v>
      </c>
      <c r="N20" s="40">
        <v>263.59</v>
      </c>
      <c r="O20" s="40">
        <v>27.93</v>
      </c>
      <c r="P20" s="40">
        <f t="shared" si="4"/>
        <v>291.52</v>
      </c>
      <c r="Q20" s="40">
        <f t="shared" si="5"/>
        <v>167.0300000000002</v>
      </c>
      <c r="R20" s="40">
        <f t="shared" si="6"/>
        <v>63.57431032602767</v>
      </c>
    </row>
    <row r="21" spans="1:18" ht="18" customHeight="1">
      <c r="A21" s="20">
        <v>16</v>
      </c>
      <c r="B21" s="88" t="s">
        <v>221</v>
      </c>
      <c r="C21" s="40">
        <v>4303.58</v>
      </c>
      <c r="D21" s="40">
        <v>134.67</v>
      </c>
      <c r="E21" s="40">
        <f t="shared" si="0"/>
        <v>4438.25</v>
      </c>
      <c r="F21" s="40">
        <v>442.28</v>
      </c>
      <c r="G21" s="40">
        <v>996.34</v>
      </c>
      <c r="H21" s="40">
        <v>885.52</v>
      </c>
      <c r="I21" s="40">
        <f t="shared" si="1"/>
        <v>2324.14</v>
      </c>
      <c r="J21" s="40">
        <v>0</v>
      </c>
      <c r="K21" s="40">
        <v>617.22</v>
      </c>
      <c r="L21" s="40">
        <f t="shared" si="2"/>
        <v>2941.3599999999997</v>
      </c>
      <c r="M21" s="40">
        <f t="shared" si="3"/>
        <v>1496.8900000000003</v>
      </c>
      <c r="N21" s="40">
        <v>930.24</v>
      </c>
      <c r="O21" s="40">
        <v>299.3</v>
      </c>
      <c r="P21" s="40">
        <f t="shared" si="4"/>
        <v>1229.54</v>
      </c>
      <c r="Q21" s="40">
        <f t="shared" si="5"/>
        <v>267.35000000000036</v>
      </c>
      <c r="R21" s="40">
        <f t="shared" si="6"/>
        <v>82.13963617901113</v>
      </c>
    </row>
    <row r="22" spans="1:18" ht="18" customHeight="1">
      <c r="A22" s="20">
        <v>17</v>
      </c>
      <c r="B22" s="88" t="s">
        <v>229</v>
      </c>
      <c r="C22" s="40">
        <f>958.8+382.13</f>
        <v>1340.9299999999998</v>
      </c>
      <c r="D22" s="40">
        <v>96.31</v>
      </c>
      <c r="E22" s="40">
        <f t="shared" si="0"/>
        <v>1437.2399999999998</v>
      </c>
      <c r="F22" s="40">
        <v>333.82</v>
      </c>
      <c r="G22" s="40">
        <v>365.19</v>
      </c>
      <c r="H22" s="40">
        <v>122</v>
      </c>
      <c r="I22" s="40">
        <f t="shared" si="1"/>
        <v>821.01</v>
      </c>
      <c r="J22" s="40">
        <v>31.98</v>
      </c>
      <c r="K22" s="40">
        <v>213</v>
      </c>
      <c r="L22" s="40">
        <f t="shared" si="2"/>
        <v>1065.99</v>
      </c>
      <c r="M22" s="40">
        <f t="shared" si="3"/>
        <v>371.2499999999998</v>
      </c>
      <c r="N22" s="40">
        <v>164.13</v>
      </c>
      <c r="O22" s="40">
        <v>62.11</v>
      </c>
      <c r="P22" s="40">
        <f t="shared" si="4"/>
        <v>226.24</v>
      </c>
      <c r="Q22" s="40">
        <f t="shared" si="5"/>
        <v>145.00999999999976</v>
      </c>
      <c r="R22" s="40">
        <f t="shared" si="6"/>
        <v>60.94006734006739</v>
      </c>
    </row>
    <row r="23" spans="1:18" ht="18" customHeight="1">
      <c r="A23" s="20">
        <v>18</v>
      </c>
      <c r="B23" s="88" t="s">
        <v>223</v>
      </c>
      <c r="C23" s="40">
        <v>302.65</v>
      </c>
      <c r="D23" s="40">
        <v>14.99</v>
      </c>
      <c r="E23" s="40">
        <f t="shared" si="0"/>
        <v>317.64</v>
      </c>
      <c r="F23" s="40">
        <v>49.98</v>
      </c>
      <c r="G23" s="40">
        <v>46.02</v>
      </c>
      <c r="H23" s="40">
        <v>92.45</v>
      </c>
      <c r="I23" s="40">
        <f t="shared" si="1"/>
        <v>188.45</v>
      </c>
      <c r="J23" s="40">
        <v>0</v>
      </c>
      <c r="K23" s="40">
        <v>15.13</v>
      </c>
      <c r="L23" s="40">
        <f t="shared" si="2"/>
        <v>203.57999999999998</v>
      </c>
      <c r="M23" s="40">
        <f t="shared" si="3"/>
        <v>114.06</v>
      </c>
      <c r="N23" s="40">
        <v>51.16</v>
      </c>
      <c r="O23" s="40">
        <v>36.19</v>
      </c>
      <c r="P23" s="40">
        <f t="shared" si="4"/>
        <v>87.35</v>
      </c>
      <c r="Q23" s="40">
        <f t="shared" si="5"/>
        <v>26.710000000000008</v>
      </c>
      <c r="R23" s="40">
        <f t="shared" si="6"/>
        <v>76.58250043836577</v>
      </c>
    </row>
    <row r="24" spans="1:18" ht="18" customHeight="1">
      <c r="A24" s="20">
        <v>19</v>
      </c>
      <c r="B24" s="88" t="s">
        <v>241</v>
      </c>
      <c r="C24" s="40">
        <v>1420.08</v>
      </c>
      <c r="D24" s="40">
        <v>6.62</v>
      </c>
      <c r="E24" s="40">
        <f t="shared" si="0"/>
        <v>1426.6999999999998</v>
      </c>
      <c r="F24" s="40">
        <v>66.65</v>
      </c>
      <c r="G24" s="40">
        <v>182.58</v>
      </c>
      <c r="H24" s="40">
        <v>18.87</v>
      </c>
      <c r="I24" s="40">
        <f t="shared" si="1"/>
        <v>268.1</v>
      </c>
      <c r="J24" s="40">
        <v>0.03</v>
      </c>
      <c r="K24" s="40">
        <v>1079.95</v>
      </c>
      <c r="L24" s="40">
        <f t="shared" si="2"/>
        <v>1348.08</v>
      </c>
      <c r="M24" s="40">
        <f t="shared" si="3"/>
        <v>78.61999999999989</v>
      </c>
      <c r="N24" s="40">
        <v>44.92</v>
      </c>
      <c r="O24" s="40">
        <v>26.34</v>
      </c>
      <c r="P24" s="40">
        <f t="shared" si="4"/>
        <v>71.26</v>
      </c>
      <c r="Q24" s="40">
        <f t="shared" si="5"/>
        <v>7.359999999999886</v>
      </c>
      <c r="R24" s="40">
        <f t="shared" si="6"/>
        <v>90.63851437293323</v>
      </c>
    </row>
    <row r="25" spans="1:18" ht="18" customHeight="1">
      <c r="A25" s="20">
        <v>20</v>
      </c>
      <c r="B25" s="88" t="s">
        <v>234</v>
      </c>
      <c r="C25" s="40">
        <v>799.85</v>
      </c>
      <c r="D25" s="40">
        <v>100.7</v>
      </c>
      <c r="E25" s="40">
        <f t="shared" si="0"/>
        <v>900.5500000000001</v>
      </c>
      <c r="F25" s="40">
        <v>266.98</v>
      </c>
      <c r="G25" s="40">
        <v>188.6</v>
      </c>
      <c r="H25" s="40">
        <v>26.05</v>
      </c>
      <c r="I25" s="40">
        <f t="shared" si="1"/>
        <v>481.63000000000005</v>
      </c>
      <c r="J25" s="40">
        <v>1.79</v>
      </c>
      <c r="K25" s="40">
        <v>131.92</v>
      </c>
      <c r="L25" s="40">
        <f t="shared" si="2"/>
        <v>615.34</v>
      </c>
      <c r="M25" s="40">
        <f t="shared" si="3"/>
        <v>285.21000000000004</v>
      </c>
      <c r="N25" s="40">
        <v>58.86</v>
      </c>
      <c r="O25" s="40">
        <v>106.17</v>
      </c>
      <c r="P25" s="40">
        <f t="shared" si="4"/>
        <v>165.03</v>
      </c>
      <c r="Q25" s="40">
        <f t="shared" si="5"/>
        <v>120.18000000000004</v>
      </c>
      <c r="R25" s="40">
        <f t="shared" si="6"/>
        <v>57.86262753760386</v>
      </c>
    </row>
    <row r="26" spans="1:18" s="63" customFormat="1" ht="18" customHeight="1">
      <c r="A26" s="21"/>
      <c r="B26" s="89" t="s">
        <v>35</v>
      </c>
      <c r="C26" s="60">
        <f>SUM(C6:C25)</f>
        <v>155210.58</v>
      </c>
      <c r="D26" s="60">
        <f>SUM(D6:D25)</f>
        <v>11368.330000000002</v>
      </c>
      <c r="E26" s="41">
        <f>C26+D26</f>
        <v>166578.90999999997</v>
      </c>
      <c r="F26" s="60">
        <f>SUM(F6:F25)</f>
        <v>52130.75000000001</v>
      </c>
      <c r="G26" s="60">
        <f>SUM(G6:G25)</f>
        <v>34382.83</v>
      </c>
      <c r="H26" s="60">
        <f>SUM(H6:H25)</f>
        <v>20979.1</v>
      </c>
      <c r="I26" s="41">
        <f>F26+G26+H26</f>
        <v>107492.68000000002</v>
      </c>
      <c r="J26" s="60">
        <f>SUM(J6:J25)</f>
        <v>3964.3900000000003</v>
      </c>
      <c r="K26" s="60">
        <f>SUM(K6:K25)</f>
        <v>36884.05999999999</v>
      </c>
      <c r="L26" s="41">
        <f>I26+J26+K26</f>
        <v>148341.13</v>
      </c>
      <c r="M26" s="41">
        <f>E26-L26</f>
        <v>18237.77999999997</v>
      </c>
      <c r="N26" s="60">
        <f>SUM(N6:N25)</f>
        <v>9733.22</v>
      </c>
      <c r="O26" s="60">
        <f>SUM(O6:O25)</f>
        <v>2923.67</v>
      </c>
      <c r="P26" s="41">
        <f>N26+O26</f>
        <v>12656.89</v>
      </c>
      <c r="Q26" s="41">
        <f>M26-P26</f>
        <v>5580.88999999997</v>
      </c>
      <c r="R26" s="41">
        <f>P26/M26*100</f>
        <v>69.39929092246985</v>
      </c>
    </row>
  </sheetData>
  <mergeCells count="19">
    <mergeCell ref="R4:R5"/>
    <mergeCell ref="N4:N5"/>
    <mergeCell ref="O4:O5"/>
    <mergeCell ref="P4:P5"/>
    <mergeCell ref="Q4:Q5"/>
    <mergeCell ref="J4:J5"/>
    <mergeCell ref="K4:K5"/>
    <mergeCell ref="L4:L5"/>
    <mergeCell ref="M4:M5"/>
    <mergeCell ref="B1:R1"/>
    <mergeCell ref="B2:R2"/>
    <mergeCell ref="B3:R3"/>
    <mergeCell ref="A4:A5"/>
    <mergeCell ref="B4:B5"/>
    <mergeCell ref="C4:C5"/>
    <mergeCell ref="D4:D5"/>
    <mergeCell ref="E4:E5"/>
    <mergeCell ref="F4:H4"/>
    <mergeCell ref="I4:I5"/>
  </mergeCells>
  <printOptions/>
  <pageMargins left="0.25" right="0.32" top="1" bottom="1" header="0.5" footer="0.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L25" sqref="L25"/>
    </sheetView>
  </sheetViews>
  <sheetFormatPr defaultColWidth="9.140625" defaultRowHeight="12.75"/>
  <cols>
    <col min="2" max="3" width="10.00390625" style="0" customWidth="1"/>
    <col min="4" max="4" width="11.7109375" style="0" customWidth="1"/>
    <col min="5" max="5" width="8.8515625" style="0" customWidth="1"/>
    <col min="8" max="8" width="10.8515625" style="0" customWidth="1"/>
  </cols>
  <sheetData>
    <row r="1" spans="1:9" ht="12.75">
      <c r="A1" s="209" t="s">
        <v>242</v>
      </c>
      <c r="B1" s="209"/>
      <c r="C1" s="209"/>
      <c r="D1" s="209"/>
      <c r="E1" s="209"/>
      <c r="F1" s="209"/>
      <c r="G1" s="209"/>
      <c r="H1" s="209"/>
      <c r="I1" s="209"/>
    </row>
    <row r="2" spans="1:9" ht="15.75">
      <c r="A2" s="200" t="s">
        <v>1</v>
      </c>
      <c r="B2" s="201"/>
      <c r="C2" s="201"/>
      <c r="D2" s="201"/>
      <c r="E2" s="201"/>
      <c r="F2" s="201"/>
      <c r="G2" s="201"/>
      <c r="H2" s="201"/>
      <c r="I2" s="202"/>
    </row>
    <row r="3" spans="1:9" ht="12" customHeight="1">
      <c r="A3" s="203" t="s">
        <v>2</v>
      </c>
      <c r="B3" s="204"/>
      <c r="C3" s="204"/>
      <c r="D3" s="204"/>
      <c r="E3" s="204"/>
      <c r="F3" s="204"/>
      <c r="G3" s="204"/>
      <c r="H3" s="204"/>
      <c r="I3" s="205"/>
    </row>
    <row r="4" spans="1:9" ht="12.75">
      <c r="A4" s="149" t="s">
        <v>243</v>
      </c>
      <c r="B4" s="206" t="s">
        <v>39</v>
      </c>
      <c r="C4" s="207"/>
      <c r="D4" s="207"/>
      <c r="E4" s="208"/>
      <c r="F4" s="152" t="s">
        <v>244</v>
      </c>
      <c r="G4" s="152"/>
      <c r="H4" s="152"/>
      <c r="I4" s="152"/>
    </row>
    <row r="5" spans="1:9" ht="51.75" customHeight="1">
      <c r="A5" s="149"/>
      <c r="B5" s="20" t="s">
        <v>129</v>
      </c>
      <c r="C5" s="20" t="s">
        <v>130</v>
      </c>
      <c r="D5" s="52" t="s">
        <v>245</v>
      </c>
      <c r="E5" s="90" t="s">
        <v>246</v>
      </c>
      <c r="F5" s="20" t="s">
        <v>129</v>
      </c>
      <c r="G5" s="20" t="s">
        <v>130</v>
      </c>
      <c r="H5" s="52" t="s">
        <v>247</v>
      </c>
      <c r="I5" s="91" t="s">
        <v>246</v>
      </c>
    </row>
    <row r="6" spans="1:12" ht="15.75" customHeight="1">
      <c r="A6" s="85" t="s">
        <v>21</v>
      </c>
      <c r="B6" s="59">
        <v>1648.17</v>
      </c>
      <c r="C6" s="59">
        <v>1742.66</v>
      </c>
      <c r="D6" s="92">
        <f>C6-B6</f>
        <v>94.49000000000001</v>
      </c>
      <c r="E6" s="92">
        <f>D6/B6*100</f>
        <v>5.733025112700753</v>
      </c>
      <c r="F6" s="59">
        <v>1220.67</v>
      </c>
      <c r="G6" s="59">
        <v>1333.67</v>
      </c>
      <c r="H6" s="93">
        <f>G6-F6</f>
        <v>113</v>
      </c>
      <c r="I6" s="93">
        <f>H6/F6*100</f>
        <v>9.257211203683223</v>
      </c>
      <c r="K6" s="94"/>
      <c r="L6" s="65"/>
    </row>
    <row r="7" spans="1:12" ht="15.75" customHeight="1">
      <c r="A7" s="85" t="s">
        <v>22</v>
      </c>
      <c r="B7" s="59">
        <v>995.27</v>
      </c>
      <c r="C7" s="59">
        <v>1098.26</v>
      </c>
      <c r="D7" s="92">
        <f aca="true" t="shared" si="0" ref="D7:D20">C7-B7</f>
        <v>102.99000000000001</v>
      </c>
      <c r="E7" s="92">
        <f aca="true" t="shared" si="1" ref="E7:E20">D7/B7*100</f>
        <v>10.347945783556222</v>
      </c>
      <c r="F7" s="59">
        <v>983.03</v>
      </c>
      <c r="G7" s="59">
        <v>1042.86</v>
      </c>
      <c r="H7" s="93">
        <f aca="true" t="shared" si="2" ref="H7:H20">G7-F7</f>
        <v>59.82999999999993</v>
      </c>
      <c r="I7" s="93">
        <f aca="true" t="shared" si="3" ref="I7:I20">H7/F7*100</f>
        <v>6.0862842436141245</v>
      </c>
      <c r="K7" s="94"/>
      <c r="L7" s="65"/>
    </row>
    <row r="8" spans="1:12" ht="15.75" customHeight="1">
      <c r="A8" s="85" t="s">
        <v>23</v>
      </c>
      <c r="B8" s="59">
        <v>1199.03</v>
      </c>
      <c r="C8" s="59">
        <v>973.85</v>
      </c>
      <c r="D8" s="92">
        <f t="shared" si="0"/>
        <v>-225.17999999999995</v>
      </c>
      <c r="E8" s="92">
        <f t="shared" si="1"/>
        <v>-18.7801806460222</v>
      </c>
      <c r="F8" s="59">
        <v>1160.14</v>
      </c>
      <c r="G8" s="59">
        <v>965.81</v>
      </c>
      <c r="H8" s="93">
        <f t="shared" si="2"/>
        <v>-194.33000000000015</v>
      </c>
      <c r="I8" s="93">
        <f t="shared" si="3"/>
        <v>-16.750564587032613</v>
      </c>
      <c r="K8" s="94"/>
      <c r="L8" s="65"/>
    </row>
    <row r="9" spans="1:12" ht="15.75" customHeight="1">
      <c r="A9" s="85" t="s">
        <v>24</v>
      </c>
      <c r="B9" s="59">
        <v>607.09</v>
      </c>
      <c r="C9" s="59">
        <v>609.39</v>
      </c>
      <c r="D9" s="92">
        <f t="shared" si="0"/>
        <v>2.2999999999999545</v>
      </c>
      <c r="E9" s="92">
        <f t="shared" si="1"/>
        <v>0.37885651221399697</v>
      </c>
      <c r="F9" s="59">
        <v>477.18</v>
      </c>
      <c r="G9" s="59">
        <v>529.21</v>
      </c>
      <c r="H9" s="93">
        <f t="shared" si="2"/>
        <v>52.03000000000003</v>
      </c>
      <c r="I9" s="93">
        <f t="shared" si="3"/>
        <v>10.903642231443067</v>
      </c>
      <c r="K9" s="94"/>
      <c r="L9" s="65"/>
    </row>
    <row r="10" spans="1:12" ht="15.75" customHeight="1">
      <c r="A10" s="85" t="s">
        <v>25</v>
      </c>
      <c r="B10" s="59">
        <v>874.02</v>
      </c>
      <c r="C10" s="59">
        <v>882.97</v>
      </c>
      <c r="D10" s="92">
        <f t="shared" si="0"/>
        <v>8.950000000000045</v>
      </c>
      <c r="E10" s="92">
        <f t="shared" si="1"/>
        <v>1.0240040273678</v>
      </c>
      <c r="F10" s="59">
        <v>803.69</v>
      </c>
      <c r="G10" s="59">
        <v>878.83</v>
      </c>
      <c r="H10" s="93">
        <f t="shared" si="2"/>
        <v>75.13999999999999</v>
      </c>
      <c r="I10" s="93">
        <f t="shared" si="3"/>
        <v>9.349376003185306</v>
      </c>
      <c r="K10" s="94"/>
      <c r="L10" s="65"/>
    </row>
    <row r="11" spans="1:12" ht="15.75" customHeight="1">
      <c r="A11" s="85" t="s">
        <v>26</v>
      </c>
      <c r="B11" s="59">
        <v>451.13</v>
      </c>
      <c r="C11" s="59">
        <v>773.58</v>
      </c>
      <c r="D11" s="92">
        <f t="shared" si="0"/>
        <v>322.45000000000005</v>
      </c>
      <c r="E11" s="92">
        <f t="shared" si="1"/>
        <v>71.47607119898922</v>
      </c>
      <c r="F11" s="59">
        <v>390.14</v>
      </c>
      <c r="G11" s="59">
        <v>492.95</v>
      </c>
      <c r="H11" s="93">
        <f t="shared" si="2"/>
        <v>102.81</v>
      </c>
      <c r="I11" s="93">
        <f t="shared" si="3"/>
        <v>26.352078740964785</v>
      </c>
      <c r="K11" s="94"/>
      <c r="L11" s="65"/>
    </row>
    <row r="12" spans="1:12" ht="15.75" customHeight="1">
      <c r="A12" s="85" t="s">
        <v>27</v>
      </c>
      <c r="B12" s="59">
        <v>2636.63</v>
      </c>
      <c r="C12" s="59">
        <v>3569.1</v>
      </c>
      <c r="D12" s="92">
        <f t="shared" si="0"/>
        <v>932.4699999999998</v>
      </c>
      <c r="E12" s="92">
        <f t="shared" si="1"/>
        <v>35.3659785407888</v>
      </c>
      <c r="F12" s="59">
        <v>2529.82</v>
      </c>
      <c r="G12" s="59">
        <v>2962.67</v>
      </c>
      <c r="H12" s="93">
        <f t="shared" si="2"/>
        <v>432.8499999999999</v>
      </c>
      <c r="I12" s="93">
        <f t="shared" si="3"/>
        <v>17.109912958234176</v>
      </c>
      <c r="K12" s="94"/>
      <c r="L12" s="65"/>
    </row>
    <row r="13" spans="1:12" ht="15.75" customHeight="1">
      <c r="A13" s="85" t="s">
        <v>28</v>
      </c>
      <c r="B13" s="59">
        <v>1627.21</v>
      </c>
      <c r="C13" s="59">
        <v>1980.41</v>
      </c>
      <c r="D13" s="92">
        <f t="shared" si="0"/>
        <v>353.20000000000005</v>
      </c>
      <c r="E13" s="92">
        <f t="shared" si="1"/>
        <v>21.70586463947493</v>
      </c>
      <c r="F13" s="59">
        <v>1616.39</v>
      </c>
      <c r="G13" s="59">
        <v>1962.54</v>
      </c>
      <c r="H13" s="93">
        <f t="shared" si="2"/>
        <v>346.14999999999986</v>
      </c>
      <c r="I13" s="93">
        <f t="shared" si="3"/>
        <v>21.415005042099978</v>
      </c>
      <c r="K13" s="94"/>
      <c r="L13" s="65"/>
    </row>
    <row r="14" spans="1:12" ht="15.75" customHeight="1">
      <c r="A14" s="85" t="s">
        <v>29</v>
      </c>
      <c r="B14" s="59">
        <v>879.57</v>
      </c>
      <c r="C14" s="59">
        <v>893.32</v>
      </c>
      <c r="D14" s="92">
        <f t="shared" si="0"/>
        <v>13.75</v>
      </c>
      <c r="E14" s="92">
        <f t="shared" si="1"/>
        <v>1.5632638675716541</v>
      </c>
      <c r="F14" s="59">
        <v>838.97</v>
      </c>
      <c r="G14" s="59">
        <v>907.32</v>
      </c>
      <c r="H14" s="93">
        <f t="shared" si="2"/>
        <v>68.35000000000002</v>
      </c>
      <c r="I14" s="93">
        <f t="shared" si="3"/>
        <v>8.14689440623622</v>
      </c>
      <c r="K14" s="94"/>
      <c r="L14" s="65"/>
    </row>
    <row r="15" spans="1:12" ht="15.75" customHeight="1">
      <c r="A15" s="85" t="s">
        <v>30</v>
      </c>
      <c r="B15" s="59">
        <v>1904</v>
      </c>
      <c r="C15" s="59">
        <v>2137.06</v>
      </c>
      <c r="D15" s="92">
        <f t="shared" si="0"/>
        <v>233.05999999999995</v>
      </c>
      <c r="E15" s="92">
        <f t="shared" si="1"/>
        <v>12.240546218487392</v>
      </c>
      <c r="F15" s="59">
        <v>1949.15</v>
      </c>
      <c r="G15" s="59">
        <v>2199.87</v>
      </c>
      <c r="H15" s="93">
        <f t="shared" si="2"/>
        <v>250.7199999999998</v>
      </c>
      <c r="I15" s="93">
        <f t="shared" si="3"/>
        <v>12.863042864838508</v>
      </c>
      <c r="K15" s="94"/>
      <c r="L15" s="65"/>
    </row>
    <row r="16" spans="1:12" ht="15.75" customHeight="1">
      <c r="A16" s="85" t="s">
        <v>31</v>
      </c>
      <c r="B16" s="59">
        <v>1086.79</v>
      </c>
      <c r="C16" s="59">
        <v>1112.98</v>
      </c>
      <c r="D16" s="92">
        <f t="shared" si="0"/>
        <v>26.190000000000055</v>
      </c>
      <c r="E16" s="92">
        <f t="shared" si="1"/>
        <v>2.409849188895744</v>
      </c>
      <c r="F16" s="59">
        <v>996.18</v>
      </c>
      <c r="G16" s="59">
        <v>1104.82</v>
      </c>
      <c r="H16" s="93">
        <f t="shared" si="2"/>
        <v>108.63999999999999</v>
      </c>
      <c r="I16" s="93">
        <f t="shared" si="3"/>
        <v>10.905659619747436</v>
      </c>
      <c r="K16" s="94"/>
      <c r="L16" s="65"/>
    </row>
    <row r="17" spans="1:12" ht="15.75" customHeight="1">
      <c r="A17" s="85" t="s">
        <v>32</v>
      </c>
      <c r="B17" s="59">
        <v>330.28</v>
      </c>
      <c r="C17" s="59">
        <v>326.14</v>
      </c>
      <c r="D17" s="92">
        <f t="shared" si="0"/>
        <v>-4.139999999999986</v>
      </c>
      <c r="E17" s="92">
        <f t="shared" si="1"/>
        <v>-1.2534818941504138</v>
      </c>
      <c r="F17" s="59">
        <v>317.11</v>
      </c>
      <c r="G17" s="59">
        <v>344.93</v>
      </c>
      <c r="H17" s="93">
        <f t="shared" si="2"/>
        <v>27.819999999999993</v>
      </c>
      <c r="I17" s="93">
        <f t="shared" si="3"/>
        <v>8.772980984516412</v>
      </c>
      <c r="K17" s="94"/>
      <c r="L17" s="65"/>
    </row>
    <row r="18" spans="1:12" ht="15.75" customHeight="1">
      <c r="A18" s="85" t="s">
        <v>33</v>
      </c>
      <c r="B18" s="59">
        <v>1312.8</v>
      </c>
      <c r="C18" s="59">
        <v>1086.17</v>
      </c>
      <c r="D18" s="92">
        <f t="shared" si="0"/>
        <v>-226.62999999999988</v>
      </c>
      <c r="E18" s="92">
        <f t="shared" si="1"/>
        <v>-17.263101767215105</v>
      </c>
      <c r="F18" s="59">
        <v>1289.37</v>
      </c>
      <c r="G18" s="59">
        <v>1082.21</v>
      </c>
      <c r="H18" s="93">
        <f t="shared" si="2"/>
        <v>-207.15999999999985</v>
      </c>
      <c r="I18" s="93">
        <f t="shared" si="3"/>
        <v>-16.066761286519764</v>
      </c>
      <c r="K18" s="94"/>
      <c r="L18" s="65"/>
    </row>
    <row r="19" spans="1:12" ht="15.75" customHeight="1">
      <c r="A19" s="85" t="s">
        <v>34</v>
      </c>
      <c r="B19" s="59">
        <v>532.95</v>
      </c>
      <c r="C19" s="59">
        <v>561.92</v>
      </c>
      <c r="D19" s="92">
        <f t="shared" si="0"/>
        <v>28.969999999999914</v>
      </c>
      <c r="E19" s="92">
        <f t="shared" si="1"/>
        <v>5.4357819682896915</v>
      </c>
      <c r="F19" s="59">
        <v>523.59</v>
      </c>
      <c r="G19" s="59">
        <v>568.31</v>
      </c>
      <c r="H19" s="93">
        <f t="shared" si="2"/>
        <v>44.719999999999914</v>
      </c>
      <c r="I19" s="93">
        <f t="shared" si="3"/>
        <v>8.54103401516452</v>
      </c>
      <c r="K19" s="94"/>
      <c r="L19" s="65"/>
    </row>
    <row r="20" spans="1:12" s="63" customFormat="1" ht="15.75" customHeight="1">
      <c r="A20" s="81" t="s">
        <v>138</v>
      </c>
      <c r="B20" s="60">
        <f>SUM(B6:B19)</f>
        <v>16084.94</v>
      </c>
      <c r="C20" s="60">
        <f>SUM(C6:C19)</f>
        <v>17747.809999999998</v>
      </c>
      <c r="D20" s="95">
        <f t="shared" si="0"/>
        <v>1662.8699999999972</v>
      </c>
      <c r="E20" s="95">
        <f t="shared" si="1"/>
        <v>10.338055348667742</v>
      </c>
      <c r="F20" s="60">
        <f>SUM(F6:F19)</f>
        <v>15095.43</v>
      </c>
      <c r="G20" s="60">
        <f>SUM(G6:G19)</f>
        <v>16375.999999999998</v>
      </c>
      <c r="H20" s="93">
        <f t="shared" si="2"/>
        <v>1280.569999999998</v>
      </c>
      <c r="I20" s="93">
        <f t="shared" si="3"/>
        <v>8.483163447480448</v>
      </c>
      <c r="K20" s="94"/>
      <c r="L20" s="96"/>
    </row>
    <row r="21" spans="1:12" s="63" customFormat="1" ht="15.75" customHeight="1">
      <c r="A21" s="97"/>
      <c r="B21" s="98"/>
      <c r="C21" s="98"/>
      <c r="D21" s="99"/>
      <c r="E21" s="99"/>
      <c r="F21" s="98"/>
      <c r="G21" s="98"/>
      <c r="H21" s="100"/>
      <c r="I21" s="101"/>
      <c r="K21" s="96"/>
      <c r="L21" s="96"/>
    </row>
    <row r="22" spans="1:12" ht="15.75">
      <c r="A22" s="200" t="s">
        <v>248</v>
      </c>
      <c r="B22" s="201"/>
      <c r="C22" s="201"/>
      <c r="D22" s="201"/>
      <c r="E22" s="201"/>
      <c r="F22" s="201"/>
      <c r="G22" s="201"/>
      <c r="H22" s="201"/>
      <c r="I22" s="202"/>
      <c r="K22" s="65"/>
      <c r="L22" s="65"/>
    </row>
    <row r="23" spans="1:12" ht="12" customHeight="1">
      <c r="A23" s="203" t="s">
        <v>2</v>
      </c>
      <c r="B23" s="204"/>
      <c r="C23" s="204"/>
      <c r="D23" s="204"/>
      <c r="E23" s="204"/>
      <c r="F23" s="204"/>
      <c r="G23" s="204"/>
      <c r="H23" s="204"/>
      <c r="I23" s="205"/>
      <c r="K23" s="65"/>
      <c r="L23" s="65"/>
    </row>
    <row r="24" spans="1:12" ht="12.75" customHeight="1">
      <c r="A24" s="149" t="s">
        <v>243</v>
      </c>
      <c r="B24" s="206" t="s">
        <v>39</v>
      </c>
      <c r="C24" s="207"/>
      <c r="D24" s="207"/>
      <c r="E24" s="208"/>
      <c r="F24" s="152" t="s">
        <v>244</v>
      </c>
      <c r="G24" s="152"/>
      <c r="H24" s="152"/>
      <c r="I24" s="152"/>
      <c r="K24" s="65"/>
      <c r="L24" s="65"/>
    </row>
    <row r="25" spans="1:12" ht="51">
      <c r="A25" s="149"/>
      <c r="B25" s="20" t="s">
        <v>129</v>
      </c>
      <c r="C25" s="20" t="s">
        <v>130</v>
      </c>
      <c r="D25" s="52" t="s">
        <v>245</v>
      </c>
      <c r="E25" s="90" t="s">
        <v>246</v>
      </c>
      <c r="F25" s="20" t="s">
        <v>129</v>
      </c>
      <c r="G25" s="20" t="s">
        <v>130</v>
      </c>
      <c r="H25" s="52" t="s">
        <v>247</v>
      </c>
      <c r="I25" s="91" t="s">
        <v>246</v>
      </c>
      <c r="K25" s="65"/>
      <c r="L25" s="65"/>
    </row>
    <row r="26" spans="1:12" ht="15.75" customHeight="1">
      <c r="A26" s="85" t="s">
        <v>21</v>
      </c>
      <c r="B26" s="59">
        <v>7823.38</v>
      </c>
      <c r="C26" s="59">
        <v>6244.13</v>
      </c>
      <c r="D26" s="92">
        <f>C26-B26</f>
        <v>-1579.25</v>
      </c>
      <c r="E26" s="92">
        <f>D26/B26*100</f>
        <v>-20.18628776820249</v>
      </c>
      <c r="F26" s="59">
        <v>3988.13</v>
      </c>
      <c r="G26" s="59">
        <v>4014.66</v>
      </c>
      <c r="H26" s="93">
        <f>G26-F26</f>
        <v>26.529999999999745</v>
      </c>
      <c r="I26" s="93">
        <f>H26/F26*100</f>
        <v>0.6652240523754177</v>
      </c>
      <c r="K26" s="65"/>
      <c r="L26" s="65"/>
    </row>
    <row r="27" spans="1:12" ht="15.75" customHeight="1">
      <c r="A27" s="85" t="s">
        <v>22</v>
      </c>
      <c r="B27" s="59">
        <v>4213.24</v>
      </c>
      <c r="C27" s="59">
        <v>3792.15</v>
      </c>
      <c r="D27" s="92">
        <f aca="true" t="shared" si="4" ref="D27:D39">C27-B27</f>
        <v>-421.0899999999997</v>
      </c>
      <c r="E27" s="92">
        <f aca="true" t="shared" si="5" ref="E27:E40">D27/B27*100</f>
        <v>-9.994446079501754</v>
      </c>
      <c r="F27" s="59">
        <v>3047.17</v>
      </c>
      <c r="G27" s="59">
        <v>3199.79</v>
      </c>
      <c r="H27" s="93">
        <f aca="true" t="shared" si="6" ref="H27:H40">G27-F27</f>
        <v>152.6199999999999</v>
      </c>
      <c r="I27" s="93">
        <f aca="true" t="shared" si="7" ref="I27:I40">H27/F27*100</f>
        <v>5.00858173321475</v>
      </c>
      <c r="K27" s="65"/>
      <c r="L27" s="65"/>
    </row>
    <row r="28" spans="1:12" ht="15.75" customHeight="1">
      <c r="A28" s="85" t="s">
        <v>23</v>
      </c>
      <c r="B28" s="59">
        <v>1346.53</v>
      </c>
      <c r="C28" s="59">
        <v>1447.75</v>
      </c>
      <c r="D28" s="92">
        <f t="shared" si="4"/>
        <v>101.22000000000003</v>
      </c>
      <c r="E28" s="92">
        <f t="shared" si="5"/>
        <v>7.517099507623301</v>
      </c>
      <c r="F28" s="59">
        <v>1111.21</v>
      </c>
      <c r="G28" s="59">
        <v>1305.26</v>
      </c>
      <c r="H28" s="93">
        <f t="shared" si="6"/>
        <v>194.04999999999995</v>
      </c>
      <c r="I28" s="93">
        <f t="shared" si="7"/>
        <v>17.462945797823988</v>
      </c>
      <c r="K28" s="65"/>
      <c r="L28" s="65"/>
    </row>
    <row r="29" spans="1:12" ht="15.75" customHeight="1">
      <c r="A29" s="85" t="s">
        <v>24</v>
      </c>
      <c r="B29" s="59">
        <v>1748.48</v>
      </c>
      <c r="C29" s="59">
        <v>1935.77</v>
      </c>
      <c r="D29" s="92">
        <f t="shared" si="4"/>
        <v>187.28999999999996</v>
      </c>
      <c r="E29" s="92">
        <f t="shared" si="5"/>
        <v>10.711589494875547</v>
      </c>
      <c r="F29" s="59">
        <v>1527.3</v>
      </c>
      <c r="G29" s="59">
        <v>1688.32</v>
      </c>
      <c r="H29" s="93">
        <f t="shared" si="6"/>
        <v>161.01999999999998</v>
      </c>
      <c r="I29" s="93">
        <f t="shared" si="7"/>
        <v>10.542787926406074</v>
      </c>
      <c r="K29" s="65"/>
      <c r="L29" s="65"/>
    </row>
    <row r="30" spans="1:12" ht="15.75" customHeight="1">
      <c r="A30" s="85" t="s">
        <v>25</v>
      </c>
      <c r="B30" s="59">
        <v>2421.49</v>
      </c>
      <c r="C30" s="59">
        <v>2746.35</v>
      </c>
      <c r="D30" s="92">
        <f t="shared" si="4"/>
        <v>324.8600000000001</v>
      </c>
      <c r="E30" s="92">
        <f t="shared" si="5"/>
        <v>13.415706858174106</v>
      </c>
      <c r="F30" s="59">
        <v>2236.62</v>
      </c>
      <c r="G30" s="59">
        <v>2424.34</v>
      </c>
      <c r="H30" s="93">
        <f t="shared" si="6"/>
        <v>187.72000000000025</v>
      </c>
      <c r="I30" s="93">
        <f t="shared" si="7"/>
        <v>8.393021612969582</v>
      </c>
      <c r="K30" s="65"/>
      <c r="L30" s="65"/>
    </row>
    <row r="31" spans="1:12" ht="15.75" customHeight="1">
      <c r="A31" s="85" t="s">
        <v>26</v>
      </c>
      <c r="B31" s="59">
        <v>2447.12</v>
      </c>
      <c r="C31" s="59">
        <v>1350.18</v>
      </c>
      <c r="D31" s="92">
        <f t="shared" si="4"/>
        <v>-1096.9399999999998</v>
      </c>
      <c r="E31" s="92">
        <f t="shared" si="5"/>
        <v>-44.82575435614109</v>
      </c>
      <c r="F31" s="59">
        <v>571.74</v>
      </c>
      <c r="G31" s="59">
        <v>755.38</v>
      </c>
      <c r="H31" s="93">
        <f t="shared" si="6"/>
        <v>183.64</v>
      </c>
      <c r="I31" s="93">
        <f t="shared" si="7"/>
        <v>32.119494875292965</v>
      </c>
      <c r="K31" s="65"/>
      <c r="L31" s="65"/>
    </row>
    <row r="32" spans="1:12" ht="15.75" customHeight="1">
      <c r="A32" s="85" t="s">
        <v>27</v>
      </c>
      <c r="B32" s="59">
        <v>11518.78</v>
      </c>
      <c r="C32" s="59">
        <v>10079.05</v>
      </c>
      <c r="D32" s="92">
        <f t="shared" si="4"/>
        <v>-1439.7300000000014</v>
      </c>
      <c r="E32" s="92">
        <f t="shared" si="5"/>
        <v>-12.498979926693638</v>
      </c>
      <c r="F32" s="59">
        <v>7517.84</v>
      </c>
      <c r="G32" s="59">
        <v>5284.38</v>
      </c>
      <c r="H32" s="93">
        <f t="shared" si="6"/>
        <v>-2233.46</v>
      </c>
      <c r="I32" s="93">
        <f t="shared" si="7"/>
        <v>-29.708799335979485</v>
      </c>
      <c r="K32" s="65"/>
      <c r="L32" s="65"/>
    </row>
    <row r="33" spans="1:12" ht="15.75" customHeight="1">
      <c r="A33" s="85" t="s">
        <v>28</v>
      </c>
      <c r="B33" s="59">
        <v>3757.91</v>
      </c>
      <c r="C33" s="59">
        <v>5359.91</v>
      </c>
      <c r="D33" s="92">
        <f t="shared" si="4"/>
        <v>1602</v>
      </c>
      <c r="E33" s="92">
        <f t="shared" si="5"/>
        <v>42.63007895346084</v>
      </c>
      <c r="F33" s="59">
        <v>2672.43</v>
      </c>
      <c r="G33" s="59">
        <v>3867.06</v>
      </c>
      <c r="H33" s="93">
        <f t="shared" si="6"/>
        <v>1194.63</v>
      </c>
      <c r="I33" s="93">
        <f t="shared" si="7"/>
        <v>44.70201277489028</v>
      </c>
      <c r="K33" s="65"/>
      <c r="L33" s="65"/>
    </row>
    <row r="34" spans="1:12" ht="15.75" customHeight="1">
      <c r="A34" s="85" t="s">
        <v>29</v>
      </c>
      <c r="B34" s="59">
        <v>1594.67</v>
      </c>
      <c r="C34" s="59">
        <v>2047.11</v>
      </c>
      <c r="D34" s="92">
        <f t="shared" si="4"/>
        <v>452.4399999999998</v>
      </c>
      <c r="E34" s="92">
        <f t="shared" si="5"/>
        <v>28.372014272545403</v>
      </c>
      <c r="F34" s="59">
        <v>1243.85</v>
      </c>
      <c r="G34" s="59">
        <v>1396.15</v>
      </c>
      <c r="H34" s="93">
        <f t="shared" si="6"/>
        <v>152.30000000000018</v>
      </c>
      <c r="I34" s="93">
        <f t="shared" si="7"/>
        <v>12.244241669011553</v>
      </c>
      <c r="K34" s="65"/>
      <c r="L34" s="65"/>
    </row>
    <row r="35" spans="1:12" ht="15.75" customHeight="1">
      <c r="A35" s="85" t="s">
        <v>30</v>
      </c>
      <c r="B35" s="59">
        <v>757.08</v>
      </c>
      <c r="C35" s="59">
        <v>618.31</v>
      </c>
      <c r="D35" s="92">
        <f t="shared" si="4"/>
        <v>-138.7700000000001</v>
      </c>
      <c r="E35" s="92">
        <f t="shared" si="5"/>
        <v>-18.329634913087137</v>
      </c>
      <c r="F35" s="59">
        <v>686.28</v>
      </c>
      <c r="G35" s="59">
        <v>594.05</v>
      </c>
      <c r="H35" s="93">
        <f t="shared" si="6"/>
        <v>-92.23000000000002</v>
      </c>
      <c r="I35" s="93">
        <f t="shared" si="7"/>
        <v>-13.439121058460108</v>
      </c>
      <c r="K35" s="65"/>
      <c r="L35" s="65"/>
    </row>
    <row r="36" spans="1:12" ht="15.75" customHeight="1">
      <c r="A36" s="85" t="s">
        <v>31</v>
      </c>
      <c r="B36" s="59">
        <v>2533.55</v>
      </c>
      <c r="C36" s="59">
        <v>2563.56</v>
      </c>
      <c r="D36" s="92">
        <f t="shared" si="4"/>
        <v>30.009999999999764</v>
      </c>
      <c r="E36" s="92">
        <f t="shared" si="5"/>
        <v>1.1845039568984137</v>
      </c>
      <c r="F36" s="59">
        <v>1951.88</v>
      </c>
      <c r="G36" s="59">
        <v>2039.32</v>
      </c>
      <c r="H36" s="93">
        <f t="shared" si="6"/>
        <v>87.43999999999983</v>
      </c>
      <c r="I36" s="93">
        <f t="shared" si="7"/>
        <v>4.479783593253674</v>
      </c>
      <c r="K36" s="65"/>
      <c r="L36" s="65"/>
    </row>
    <row r="37" spans="1:12" ht="15.75" customHeight="1">
      <c r="A37" s="85" t="s">
        <v>32</v>
      </c>
      <c r="B37" s="59">
        <v>114.22</v>
      </c>
      <c r="C37" s="59">
        <v>424.53</v>
      </c>
      <c r="D37" s="92">
        <f t="shared" si="4"/>
        <v>310.30999999999995</v>
      </c>
      <c r="E37" s="92">
        <f t="shared" si="5"/>
        <v>271.67746454211164</v>
      </c>
      <c r="F37" s="59">
        <v>336.41</v>
      </c>
      <c r="G37" s="59">
        <v>394.12</v>
      </c>
      <c r="H37" s="93">
        <f t="shared" si="6"/>
        <v>57.70999999999998</v>
      </c>
      <c r="I37" s="93">
        <f t="shared" si="7"/>
        <v>17.154662465443945</v>
      </c>
      <c r="K37" s="65"/>
      <c r="L37" s="65"/>
    </row>
    <row r="38" spans="1:12" ht="15.75" customHeight="1">
      <c r="A38" s="85" t="s">
        <v>33</v>
      </c>
      <c r="B38" s="59">
        <v>1457</v>
      </c>
      <c r="C38" s="59">
        <v>1719.1</v>
      </c>
      <c r="D38" s="92">
        <f t="shared" si="4"/>
        <v>262.0999999999999</v>
      </c>
      <c r="E38" s="92">
        <f t="shared" si="5"/>
        <v>17.989018531228545</v>
      </c>
      <c r="F38" s="59">
        <v>1004.42</v>
      </c>
      <c r="G38" s="59">
        <v>1169.47</v>
      </c>
      <c r="H38" s="93">
        <f t="shared" si="6"/>
        <v>165.05000000000007</v>
      </c>
      <c r="I38" s="93">
        <f t="shared" si="7"/>
        <v>16.43236892933236</v>
      </c>
      <c r="K38" s="65"/>
      <c r="L38" s="65"/>
    </row>
    <row r="39" spans="1:12" ht="15.75" customHeight="1">
      <c r="A39" s="85" t="s">
        <v>34</v>
      </c>
      <c r="B39" s="59">
        <v>1207.19</v>
      </c>
      <c r="C39" s="59">
        <v>1054.69</v>
      </c>
      <c r="D39" s="92">
        <f t="shared" si="4"/>
        <v>-152.5</v>
      </c>
      <c r="E39" s="92">
        <f t="shared" si="5"/>
        <v>-12.632642748863063</v>
      </c>
      <c r="F39" s="59">
        <v>359.23</v>
      </c>
      <c r="G39" s="59">
        <v>431.07</v>
      </c>
      <c r="H39" s="93">
        <f t="shared" si="6"/>
        <v>71.83999999999997</v>
      </c>
      <c r="I39" s="93">
        <f t="shared" si="7"/>
        <v>19.99832976087742</v>
      </c>
      <c r="K39" s="65"/>
      <c r="L39" s="65"/>
    </row>
    <row r="40" spans="1:12" s="63" customFormat="1" ht="15.75" customHeight="1">
      <c r="A40" s="81" t="s">
        <v>138</v>
      </c>
      <c r="B40" s="60">
        <f>SUM(B26:B39)</f>
        <v>42940.64</v>
      </c>
      <c r="C40" s="60">
        <f>SUM(C26:C39)</f>
        <v>41382.59</v>
      </c>
      <c r="D40" s="95">
        <f>C40-B40</f>
        <v>-1558.050000000003</v>
      </c>
      <c r="E40" s="102">
        <f t="shared" si="5"/>
        <v>-3.628380946348268</v>
      </c>
      <c r="F40" s="60">
        <f>SUM(F26:F39)</f>
        <v>28254.51</v>
      </c>
      <c r="G40" s="60">
        <f>SUM(G26:G39)</f>
        <v>28563.37</v>
      </c>
      <c r="H40" s="103">
        <f t="shared" si="6"/>
        <v>308.8600000000006</v>
      </c>
      <c r="I40" s="103">
        <f t="shared" si="7"/>
        <v>1.0931352198286242</v>
      </c>
      <c r="K40" s="96"/>
      <c r="L40" s="96"/>
    </row>
    <row r="53" ht="12.75" customHeight="1"/>
    <row r="54" ht="12.75" customHeight="1"/>
    <row r="55" ht="12.75" customHeight="1"/>
    <row r="56" ht="12.75" customHeight="1"/>
    <row r="57" ht="12.75" customHeight="1"/>
    <row r="59" spans="4:5" ht="12.75">
      <c r="D59" s="65"/>
      <c r="E59" s="65"/>
    </row>
    <row r="60" spans="4:5" ht="12.75">
      <c r="D60" s="65"/>
      <c r="E60" s="65"/>
    </row>
    <row r="61" spans="4:5" ht="12.75">
      <c r="D61" s="65"/>
      <c r="E61" s="65"/>
    </row>
  </sheetData>
  <mergeCells count="11">
    <mergeCell ref="A1:I1"/>
    <mergeCell ref="A2:I2"/>
    <mergeCell ref="A3:I3"/>
    <mergeCell ref="A4:A5"/>
    <mergeCell ref="B4:E4"/>
    <mergeCell ref="F4:I4"/>
    <mergeCell ref="A22:I22"/>
    <mergeCell ref="A23:I23"/>
    <mergeCell ref="A24:A25"/>
    <mergeCell ref="B24:E24"/>
    <mergeCell ref="F24:I24"/>
  </mergeCells>
  <conditionalFormatting sqref="E26:E40 E6:E21">
    <cfRule type="cellIs" priority="1" dxfId="0" operator="greaterThan" stopIfTrue="1">
      <formula>0</formula>
    </cfRule>
  </conditionalFormatting>
  <printOptions/>
  <pageMargins left="0.75" right="0.75" top="0.64" bottom="0.77" header="0.37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70">
      <selection activeCell="M103" sqref="M103"/>
    </sheetView>
  </sheetViews>
  <sheetFormatPr defaultColWidth="9.140625" defaultRowHeight="12.75"/>
  <cols>
    <col min="1" max="1" width="3.421875" style="0" customWidth="1"/>
    <col min="2" max="2" width="20.00390625" style="0" customWidth="1"/>
    <col min="5" max="5" width="10.57421875" style="0" customWidth="1"/>
    <col min="9" max="9" width="10.8515625" style="0" customWidth="1"/>
  </cols>
  <sheetData>
    <row r="1" spans="1:10" ht="15">
      <c r="A1" s="210" t="s">
        <v>242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5">
      <c r="A2" s="210" t="s">
        <v>249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5.75">
      <c r="A3" s="200" t="s">
        <v>250</v>
      </c>
      <c r="B3" s="201"/>
      <c r="C3" s="201"/>
      <c r="D3" s="201"/>
      <c r="E3" s="201"/>
      <c r="F3" s="201"/>
      <c r="G3" s="201"/>
      <c r="H3" s="201"/>
      <c r="I3" s="201"/>
      <c r="J3" s="202"/>
    </row>
    <row r="4" spans="1:10" ht="11.25" customHeight="1">
      <c r="A4" s="203" t="s">
        <v>2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2.75">
      <c r="A5" s="199" t="s">
        <v>156</v>
      </c>
      <c r="B5" s="147" t="s">
        <v>3</v>
      </c>
      <c r="C5" s="206" t="s">
        <v>39</v>
      </c>
      <c r="D5" s="207"/>
      <c r="E5" s="207"/>
      <c r="F5" s="208"/>
      <c r="G5" s="152" t="s">
        <v>244</v>
      </c>
      <c r="H5" s="152"/>
      <c r="I5" s="152"/>
      <c r="J5" s="152"/>
    </row>
    <row r="6" spans="1:10" ht="52.5" customHeight="1">
      <c r="A6" s="199"/>
      <c r="B6" s="147"/>
      <c r="C6" s="104" t="s">
        <v>129</v>
      </c>
      <c r="D6" s="104" t="s">
        <v>130</v>
      </c>
      <c r="E6" s="105" t="s">
        <v>245</v>
      </c>
      <c r="F6" s="90" t="s">
        <v>246</v>
      </c>
      <c r="G6" s="104" t="s">
        <v>129</v>
      </c>
      <c r="H6" s="104" t="s">
        <v>130</v>
      </c>
      <c r="I6" s="105" t="s">
        <v>247</v>
      </c>
      <c r="J6" s="90" t="s">
        <v>246</v>
      </c>
    </row>
    <row r="7" spans="1:10" ht="14.25">
      <c r="A7" s="20">
        <v>1</v>
      </c>
      <c r="B7" s="85" t="s">
        <v>159</v>
      </c>
      <c r="C7" s="59">
        <v>2980.33</v>
      </c>
      <c r="D7" s="59">
        <v>1714.05</v>
      </c>
      <c r="E7" s="59">
        <f aca="true" t="shared" si="0" ref="E7:E70">D7-C7</f>
        <v>-1266.28</v>
      </c>
      <c r="F7" s="59">
        <f aca="true" t="shared" si="1" ref="F7:F70">E7/C7*100</f>
        <v>-42.487912412383864</v>
      </c>
      <c r="G7" s="59">
        <v>1388.39</v>
      </c>
      <c r="H7" s="59">
        <v>1426.87</v>
      </c>
      <c r="I7" s="59">
        <f aca="true" t="shared" si="2" ref="I7:I69">H7-G7</f>
        <v>38.47999999999979</v>
      </c>
      <c r="J7" s="59">
        <f aca="true" t="shared" si="3" ref="J7:J69">I7/G7*100</f>
        <v>2.771555542750941</v>
      </c>
    </row>
    <row r="8" spans="1:10" ht="14.25">
      <c r="A8" s="20">
        <v>2</v>
      </c>
      <c r="B8" s="85" t="s">
        <v>160</v>
      </c>
      <c r="C8" s="59">
        <v>512.88</v>
      </c>
      <c r="D8" s="59">
        <v>587.56</v>
      </c>
      <c r="E8" s="59">
        <f t="shared" si="0"/>
        <v>74.67999999999995</v>
      </c>
      <c r="F8" s="59">
        <f t="shared" si="1"/>
        <v>14.56091093433161</v>
      </c>
      <c r="G8" s="59">
        <v>326.74</v>
      </c>
      <c r="H8" s="59">
        <v>383.33</v>
      </c>
      <c r="I8" s="59">
        <f t="shared" si="2"/>
        <v>56.589999999999975</v>
      </c>
      <c r="J8" s="59">
        <f t="shared" si="3"/>
        <v>17.319581318479514</v>
      </c>
    </row>
    <row r="9" spans="1:10" ht="14.25">
      <c r="A9" s="20">
        <v>3</v>
      </c>
      <c r="B9" s="85" t="s">
        <v>161</v>
      </c>
      <c r="C9" s="59">
        <v>525.94</v>
      </c>
      <c r="D9" s="59">
        <v>538.64</v>
      </c>
      <c r="E9" s="59">
        <f t="shared" si="0"/>
        <v>12.699999999999932</v>
      </c>
      <c r="F9" s="59">
        <f t="shared" si="1"/>
        <v>2.414724113016681</v>
      </c>
      <c r="G9" s="59">
        <v>368.7</v>
      </c>
      <c r="H9" s="59">
        <v>386.4</v>
      </c>
      <c r="I9" s="59">
        <f t="shared" si="2"/>
        <v>17.69999999999999</v>
      </c>
      <c r="J9" s="59">
        <f t="shared" si="3"/>
        <v>4.800650935720094</v>
      </c>
    </row>
    <row r="10" spans="1:10" ht="14.25">
      <c r="A10" s="20">
        <v>4</v>
      </c>
      <c r="B10" s="85" t="s">
        <v>162</v>
      </c>
      <c r="C10" s="59">
        <v>485.69</v>
      </c>
      <c r="D10" s="59">
        <v>594.66</v>
      </c>
      <c r="E10" s="59">
        <f t="shared" si="0"/>
        <v>108.96999999999997</v>
      </c>
      <c r="F10" s="59">
        <f t="shared" si="1"/>
        <v>22.4361218060903</v>
      </c>
      <c r="G10" s="59">
        <v>458.93</v>
      </c>
      <c r="H10" s="59">
        <v>566.79</v>
      </c>
      <c r="I10" s="59">
        <f t="shared" si="2"/>
        <v>107.85999999999996</v>
      </c>
      <c r="J10" s="59">
        <f t="shared" si="3"/>
        <v>23.5024949338679</v>
      </c>
    </row>
    <row r="11" spans="1:10" ht="14.25">
      <c r="A11" s="20">
        <v>5</v>
      </c>
      <c r="B11" s="85" t="s">
        <v>164</v>
      </c>
      <c r="C11" s="59">
        <v>1392.78</v>
      </c>
      <c r="D11" s="59">
        <v>1466.63</v>
      </c>
      <c r="E11" s="59">
        <f t="shared" si="0"/>
        <v>73.85000000000014</v>
      </c>
      <c r="F11" s="59">
        <f t="shared" si="1"/>
        <v>5.302344950387006</v>
      </c>
      <c r="G11" s="59">
        <v>1171.94</v>
      </c>
      <c r="H11" s="59">
        <v>1324.02</v>
      </c>
      <c r="I11" s="59">
        <f t="shared" si="2"/>
        <v>152.07999999999993</v>
      </c>
      <c r="J11" s="59">
        <f t="shared" si="3"/>
        <v>12.976773554960145</v>
      </c>
    </row>
    <row r="12" spans="1:10" ht="14.25">
      <c r="A12" s="20">
        <v>6</v>
      </c>
      <c r="B12" s="85" t="s">
        <v>165</v>
      </c>
      <c r="C12" s="59">
        <v>355.25</v>
      </c>
      <c r="D12" s="59">
        <v>418.25</v>
      </c>
      <c r="E12" s="59">
        <f t="shared" si="0"/>
        <v>63</v>
      </c>
      <c r="F12" s="59">
        <f t="shared" si="1"/>
        <v>17.733990147783253</v>
      </c>
      <c r="G12" s="59">
        <v>289.52</v>
      </c>
      <c r="H12" s="59">
        <v>335.52</v>
      </c>
      <c r="I12" s="59">
        <f t="shared" si="2"/>
        <v>46</v>
      </c>
      <c r="J12" s="59">
        <f t="shared" si="3"/>
        <v>15.888366952196739</v>
      </c>
    </row>
    <row r="13" spans="1:10" ht="14.25">
      <c r="A13" s="20">
        <v>7</v>
      </c>
      <c r="B13" s="85" t="s">
        <v>166</v>
      </c>
      <c r="C13" s="59">
        <v>588.7</v>
      </c>
      <c r="D13" s="59">
        <v>505.64</v>
      </c>
      <c r="E13" s="59">
        <f t="shared" si="0"/>
        <v>-83.06000000000006</v>
      </c>
      <c r="F13" s="59">
        <f t="shared" si="1"/>
        <v>-14.109053847460515</v>
      </c>
      <c r="G13" s="59">
        <v>406.92</v>
      </c>
      <c r="H13" s="59">
        <v>331.74</v>
      </c>
      <c r="I13" s="59">
        <f t="shared" si="2"/>
        <v>-75.18</v>
      </c>
      <c r="J13" s="59">
        <f t="shared" si="3"/>
        <v>-18.475375995281627</v>
      </c>
    </row>
    <row r="14" spans="1:10" ht="14.25">
      <c r="A14" s="20">
        <v>8</v>
      </c>
      <c r="B14" s="85" t="s">
        <v>167</v>
      </c>
      <c r="C14" s="59">
        <v>293.84</v>
      </c>
      <c r="D14" s="59">
        <v>346.92</v>
      </c>
      <c r="E14" s="59">
        <f t="shared" si="0"/>
        <v>53.08000000000004</v>
      </c>
      <c r="F14" s="59">
        <f t="shared" si="1"/>
        <v>18.064252654505868</v>
      </c>
      <c r="G14" s="59">
        <v>197.78</v>
      </c>
      <c r="H14" s="59">
        <v>235.18</v>
      </c>
      <c r="I14" s="59">
        <f t="shared" si="2"/>
        <v>37.400000000000006</v>
      </c>
      <c r="J14" s="59">
        <f t="shared" si="3"/>
        <v>18.909899888765295</v>
      </c>
    </row>
    <row r="15" spans="1:10" ht="14.25">
      <c r="A15" s="20">
        <v>9</v>
      </c>
      <c r="B15" s="85" t="s">
        <v>168</v>
      </c>
      <c r="C15" s="59">
        <v>185.18</v>
      </c>
      <c r="D15" s="59">
        <v>150.86</v>
      </c>
      <c r="E15" s="59">
        <f t="shared" si="0"/>
        <v>-34.31999999999999</v>
      </c>
      <c r="F15" s="59">
        <f t="shared" si="1"/>
        <v>-18.53331893293012</v>
      </c>
      <c r="G15" s="59">
        <v>76.02</v>
      </c>
      <c r="H15" s="59">
        <v>110.67</v>
      </c>
      <c r="I15" s="59">
        <f t="shared" si="2"/>
        <v>34.650000000000006</v>
      </c>
      <c r="J15" s="59">
        <f t="shared" si="3"/>
        <v>45.580110497237584</v>
      </c>
    </row>
    <row r="16" spans="1:10" ht="14.25">
      <c r="A16" s="20">
        <v>10</v>
      </c>
      <c r="B16" s="85" t="s">
        <v>170</v>
      </c>
      <c r="C16" s="59">
        <v>241.9</v>
      </c>
      <c r="D16" s="59">
        <v>264.68</v>
      </c>
      <c r="E16" s="59">
        <f t="shared" si="0"/>
        <v>22.78</v>
      </c>
      <c r="F16" s="59">
        <f t="shared" si="1"/>
        <v>9.417114510128153</v>
      </c>
      <c r="G16" s="59">
        <v>188.66</v>
      </c>
      <c r="H16" s="59">
        <v>214.94</v>
      </c>
      <c r="I16" s="59">
        <f t="shared" si="2"/>
        <v>26.28</v>
      </c>
      <c r="J16" s="59">
        <f t="shared" si="3"/>
        <v>13.929820841725856</v>
      </c>
    </row>
    <row r="17" spans="1:10" ht="14.25">
      <c r="A17" s="20">
        <v>11</v>
      </c>
      <c r="B17" s="85" t="s">
        <v>171</v>
      </c>
      <c r="C17" s="59">
        <v>177.92</v>
      </c>
      <c r="D17" s="59">
        <v>258.9</v>
      </c>
      <c r="E17" s="59">
        <f t="shared" si="0"/>
        <v>80.97999999999999</v>
      </c>
      <c r="F17" s="59">
        <f t="shared" si="1"/>
        <v>45.5148381294964</v>
      </c>
      <c r="G17" s="59">
        <v>149.32</v>
      </c>
      <c r="H17" s="59">
        <v>250.63</v>
      </c>
      <c r="I17" s="59">
        <f t="shared" si="2"/>
        <v>101.31</v>
      </c>
      <c r="J17" s="59">
        <f t="shared" si="3"/>
        <v>67.84757567639969</v>
      </c>
    </row>
    <row r="18" spans="1:10" ht="14.25">
      <c r="A18" s="20">
        <v>12</v>
      </c>
      <c r="B18" s="85" t="s">
        <v>172</v>
      </c>
      <c r="C18" s="59">
        <v>177.2</v>
      </c>
      <c r="D18" s="59">
        <v>250.59</v>
      </c>
      <c r="E18" s="59">
        <f t="shared" si="0"/>
        <v>73.39000000000001</v>
      </c>
      <c r="F18" s="59">
        <f t="shared" si="1"/>
        <v>41.41647855530476</v>
      </c>
      <c r="G18" s="59">
        <v>160.21</v>
      </c>
      <c r="H18" s="59">
        <v>228.43</v>
      </c>
      <c r="I18" s="59">
        <f t="shared" si="2"/>
        <v>68.22</v>
      </c>
      <c r="J18" s="59">
        <f t="shared" si="3"/>
        <v>42.58161163472941</v>
      </c>
    </row>
    <row r="19" spans="1:10" ht="14.25">
      <c r="A19" s="20">
        <v>13</v>
      </c>
      <c r="B19" s="85" t="s">
        <v>173</v>
      </c>
      <c r="C19" s="59">
        <v>139.53</v>
      </c>
      <c r="D19" s="59">
        <v>94.99</v>
      </c>
      <c r="E19" s="59">
        <f t="shared" si="0"/>
        <v>-44.540000000000006</v>
      </c>
      <c r="F19" s="59">
        <f t="shared" si="1"/>
        <v>-31.921450584103784</v>
      </c>
      <c r="G19" s="59">
        <v>80.92</v>
      </c>
      <c r="H19" s="59">
        <v>69.44</v>
      </c>
      <c r="I19" s="59">
        <f t="shared" si="2"/>
        <v>-11.480000000000004</v>
      </c>
      <c r="J19" s="59">
        <f t="shared" si="3"/>
        <v>-14.186851211072668</v>
      </c>
    </row>
    <row r="20" spans="1:10" ht="14.25">
      <c r="A20" s="20">
        <v>14</v>
      </c>
      <c r="B20" s="85" t="s">
        <v>174</v>
      </c>
      <c r="C20" s="59">
        <v>60.42</v>
      </c>
      <c r="D20" s="59">
        <v>63.57</v>
      </c>
      <c r="E20" s="59">
        <f t="shared" si="0"/>
        <v>3.1499999999999986</v>
      </c>
      <c r="F20" s="59">
        <f t="shared" si="1"/>
        <v>5.213505461767625</v>
      </c>
      <c r="G20" s="59">
        <v>53.39</v>
      </c>
      <c r="H20" s="59">
        <v>53.74</v>
      </c>
      <c r="I20" s="59">
        <f t="shared" si="2"/>
        <v>0.3500000000000014</v>
      </c>
      <c r="J20" s="59">
        <f t="shared" si="3"/>
        <v>0.6555534744334172</v>
      </c>
    </row>
    <row r="21" spans="1:10" ht="14.25">
      <c r="A21" s="20">
        <v>15</v>
      </c>
      <c r="B21" s="85" t="s">
        <v>176</v>
      </c>
      <c r="C21" s="59">
        <v>183.21</v>
      </c>
      <c r="D21" s="59">
        <v>198.02</v>
      </c>
      <c r="E21" s="59">
        <f t="shared" si="0"/>
        <v>14.810000000000002</v>
      </c>
      <c r="F21" s="59">
        <f t="shared" si="1"/>
        <v>8.08361988974401</v>
      </c>
      <c r="G21" s="59">
        <v>130.01</v>
      </c>
      <c r="H21" s="59">
        <v>170.89</v>
      </c>
      <c r="I21" s="59">
        <f t="shared" si="2"/>
        <v>40.879999999999995</v>
      </c>
      <c r="J21" s="59">
        <f t="shared" si="3"/>
        <v>31.443735097300205</v>
      </c>
    </row>
    <row r="22" spans="1:10" ht="14.25">
      <c r="A22" s="20">
        <v>16</v>
      </c>
      <c r="B22" s="85" t="s">
        <v>177</v>
      </c>
      <c r="C22" s="59">
        <v>97.93</v>
      </c>
      <c r="D22" s="59">
        <v>137.12</v>
      </c>
      <c r="E22" s="59">
        <f t="shared" si="0"/>
        <v>39.19</v>
      </c>
      <c r="F22" s="59">
        <f t="shared" si="1"/>
        <v>40.018380475850094</v>
      </c>
      <c r="G22" s="59">
        <v>86.16</v>
      </c>
      <c r="H22" s="59">
        <v>123.52</v>
      </c>
      <c r="I22" s="59">
        <f t="shared" si="2"/>
        <v>37.36</v>
      </c>
      <c r="J22" s="59">
        <f t="shared" si="3"/>
        <v>43.361188486536676</v>
      </c>
    </row>
    <row r="23" spans="1:10" ht="14.25">
      <c r="A23" s="20">
        <v>17</v>
      </c>
      <c r="B23" s="85" t="s">
        <v>178</v>
      </c>
      <c r="C23" s="59">
        <v>108.44</v>
      </c>
      <c r="D23" s="59">
        <v>114.46</v>
      </c>
      <c r="E23" s="59">
        <f t="shared" si="0"/>
        <v>6.019999999999996</v>
      </c>
      <c r="F23" s="59">
        <f t="shared" si="1"/>
        <v>5.55145702692733</v>
      </c>
      <c r="G23" s="59">
        <v>73.81</v>
      </c>
      <c r="H23" s="59">
        <v>102.21</v>
      </c>
      <c r="I23" s="59">
        <f t="shared" si="2"/>
        <v>28.39999999999999</v>
      </c>
      <c r="J23" s="59">
        <f t="shared" si="3"/>
        <v>38.47717111502505</v>
      </c>
    </row>
    <row r="24" spans="1:10" ht="14.25">
      <c r="A24" s="20">
        <v>18</v>
      </c>
      <c r="B24" s="85" t="s">
        <v>179</v>
      </c>
      <c r="C24" s="59">
        <v>165.6</v>
      </c>
      <c r="D24" s="59">
        <v>159.69</v>
      </c>
      <c r="E24" s="59">
        <f t="shared" si="0"/>
        <v>-5.909999999999997</v>
      </c>
      <c r="F24" s="59">
        <f t="shared" si="1"/>
        <v>-3.5688405797101432</v>
      </c>
      <c r="G24" s="59">
        <v>47.36</v>
      </c>
      <c r="H24" s="59">
        <v>80.37</v>
      </c>
      <c r="I24" s="59">
        <f t="shared" si="2"/>
        <v>33.010000000000005</v>
      </c>
      <c r="J24" s="59">
        <f t="shared" si="3"/>
        <v>69.70016891891892</v>
      </c>
    </row>
    <row r="25" spans="1:10" ht="14.25">
      <c r="A25" s="20">
        <v>19</v>
      </c>
      <c r="B25" s="85" t="s">
        <v>180</v>
      </c>
      <c r="C25" s="59">
        <v>231.72</v>
      </c>
      <c r="D25" s="59">
        <v>399.8</v>
      </c>
      <c r="E25" s="59">
        <f t="shared" si="0"/>
        <v>168.08</v>
      </c>
      <c r="F25" s="59">
        <f t="shared" si="1"/>
        <v>72.5358190920076</v>
      </c>
      <c r="G25" s="59">
        <v>288.1</v>
      </c>
      <c r="H25" s="59">
        <v>341.05</v>
      </c>
      <c r="I25" s="59">
        <f t="shared" si="2"/>
        <v>52.94999999999999</v>
      </c>
      <c r="J25" s="59">
        <f t="shared" si="3"/>
        <v>18.379035057271775</v>
      </c>
    </row>
    <row r="26" spans="1:10" ht="14.25">
      <c r="A26" s="20">
        <v>20</v>
      </c>
      <c r="B26" s="85" t="s">
        <v>181</v>
      </c>
      <c r="C26" s="59">
        <v>323.34</v>
      </c>
      <c r="D26" s="59">
        <v>419.31</v>
      </c>
      <c r="E26" s="59">
        <f t="shared" si="0"/>
        <v>95.97000000000003</v>
      </c>
      <c r="F26" s="59">
        <f t="shared" si="1"/>
        <v>29.680831323065515</v>
      </c>
      <c r="G26" s="59">
        <v>304.42</v>
      </c>
      <c r="H26" s="59">
        <v>393.07</v>
      </c>
      <c r="I26" s="59">
        <f t="shared" si="2"/>
        <v>88.64999999999998</v>
      </c>
      <c r="J26" s="59">
        <f t="shared" si="3"/>
        <v>29.120951317259042</v>
      </c>
    </row>
    <row r="27" spans="1:10" ht="14.25">
      <c r="A27" s="20">
        <v>21</v>
      </c>
      <c r="B27" s="85" t="s">
        <v>183</v>
      </c>
      <c r="C27" s="59">
        <v>256.48</v>
      </c>
      <c r="D27" s="59">
        <v>193.66</v>
      </c>
      <c r="E27" s="59">
        <f t="shared" si="0"/>
        <v>-62.82000000000002</v>
      </c>
      <c r="F27" s="59">
        <f t="shared" si="1"/>
        <v>-24.49313786650032</v>
      </c>
      <c r="G27" s="59">
        <v>246.89</v>
      </c>
      <c r="H27" s="59">
        <v>160.61</v>
      </c>
      <c r="I27" s="59">
        <f t="shared" si="2"/>
        <v>-86.27999999999997</v>
      </c>
      <c r="J27" s="59">
        <f t="shared" si="3"/>
        <v>-34.94673741342297</v>
      </c>
    </row>
    <row r="28" spans="1:10" ht="14.25">
      <c r="A28" s="20">
        <v>22</v>
      </c>
      <c r="B28" s="85" t="s">
        <v>184</v>
      </c>
      <c r="C28" s="59">
        <v>172.78</v>
      </c>
      <c r="D28" s="59">
        <v>188.14</v>
      </c>
      <c r="E28" s="59">
        <f t="shared" si="0"/>
        <v>15.359999999999985</v>
      </c>
      <c r="F28" s="59">
        <f t="shared" si="1"/>
        <v>8.889917814561862</v>
      </c>
      <c r="G28" s="59">
        <v>165.63</v>
      </c>
      <c r="H28" s="59">
        <v>178.81</v>
      </c>
      <c r="I28" s="59">
        <f t="shared" si="2"/>
        <v>13.180000000000007</v>
      </c>
      <c r="J28" s="59">
        <f t="shared" si="3"/>
        <v>7.957495622773656</v>
      </c>
    </row>
    <row r="29" spans="1:10" ht="14.25">
      <c r="A29" s="20">
        <v>23</v>
      </c>
      <c r="B29" s="85" t="s">
        <v>185</v>
      </c>
      <c r="C29" s="59">
        <v>735.36</v>
      </c>
      <c r="D29" s="59">
        <v>654.71</v>
      </c>
      <c r="E29" s="59">
        <f t="shared" si="0"/>
        <v>-80.64999999999998</v>
      </c>
      <c r="F29" s="59">
        <f t="shared" si="1"/>
        <v>-10.967417319408177</v>
      </c>
      <c r="G29" s="59">
        <v>637.35</v>
      </c>
      <c r="H29" s="59">
        <v>600.65</v>
      </c>
      <c r="I29" s="59">
        <f t="shared" si="2"/>
        <v>-36.700000000000045</v>
      </c>
      <c r="J29" s="59">
        <f t="shared" si="3"/>
        <v>-5.758217619832124</v>
      </c>
    </row>
    <row r="30" spans="1:10" ht="14.25">
      <c r="A30" s="20">
        <v>24</v>
      </c>
      <c r="B30" s="85" t="s">
        <v>186</v>
      </c>
      <c r="C30" s="59">
        <v>338.38</v>
      </c>
      <c r="D30" s="59">
        <v>384.41</v>
      </c>
      <c r="E30" s="59">
        <f t="shared" si="0"/>
        <v>46.03000000000003</v>
      </c>
      <c r="F30" s="59">
        <f t="shared" si="1"/>
        <v>13.60304982563982</v>
      </c>
      <c r="G30" s="59">
        <v>301.55</v>
      </c>
      <c r="H30" s="59">
        <v>320.84</v>
      </c>
      <c r="I30" s="59">
        <f t="shared" si="2"/>
        <v>19.289999999999964</v>
      </c>
      <c r="J30" s="59">
        <f t="shared" si="3"/>
        <v>6.396949096335587</v>
      </c>
    </row>
    <row r="31" spans="1:10" ht="14.25">
      <c r="A31" s="20">
        <v>25</v>
      </c>
      <c r="B31" s="85" t="s">
        <v>187</v>
      </c>
      <c r="C31" s="59">
        <v>239.21</v>
      </c>
      <c r="D31" s="59">
        <v>218.51</v>
      </c>
      <c r="E31" s="59">
        <f t="shared" si="0"/>
        <v>-20.700000000000017</v>
      </c>
      <c r="F31" s="59">
        <f t="shared" si="1"/>
        <v>-8.653484386104267</v>
      </c>
      <c r="G31" s="59">
        <v>209.4</v>
      </c>
      <c r="H31" s="59">
        <v>195.3</v>
      </c>
      <c r="I31" s="59">
        <f t="shared" si="2"/>
        <v>-14.099999999999994</v>
      </c>
      <c r="J31" s="59">
        <f t="shared" si="3"/>
        <v>-6.733524355300857</v>
      </c>
    </row>
    <row r="32" spans="1:10" ht="14.25">
      <c r="A32" s="20">
        <v>26</v>
      </c>
      <c r="B32" s="85" t="s">
        <v>189</v>
      </c>
      <c r="C32" s="59">
        <v>937.89</v>
      </c>
      <c r="D32" s="59">
        <v>223.66</v>
      </c>
      <c r="E32" s="59">
        <f t="shared" si="0"/>
        <v>-714.23</v>
      </c>
      <c r="F32" s="59">
        <f t="shared" si="1"/>
        <v>-76.15285374617493</v>
      </c>
      <c r="G32" s="59">
        <v>145.12</v>
      </c>
      <c r="H32" s="59">
        <v>161.6</v>
      </c>
      <c r="I32" s="59">
        <f t="shared" si="2"/>
        <v>16.47999999999999</v>
      </c>
      <c r="J32" s="59">
        <f t="shared" si="3"/>
        <v>11.356119073869893</v>
      </c>
    </row>
    <row r="33" spans="1:10" ht="14.25">
      <c r="A33" s="20">
        <v>27</v>
      </c>
      <c r="B33" s="85" t="s">
        <v>190</v>
      </c>
      <c r="C33" s="59">
        <v>42.9</v>
      </c>
      <c r="D33" s="59">
        <v>168.52</v>
      </c>
      <c r="E33" s="59">
        <f t="shared" si="0"/>
        <v>125.62</v>
      </c>
      <c r="F33" s="59">
        <f t="shared" si="1"/>
        <v>292.8205128205128</v>
      </c>
      <c r="G33" s="59">
        <v>39.76</v>
      </c>
      <c r="H33" s="59">
        <v>164.34</v>
      </c>
      <c r="I33" s="59">
        <f t="shared" si="2"/>
        <v>124.58000000000001</v>
      </c>
      <c r="J33" s="59">
        <f t="shared" si="3"/>
        <v>313.3299798792757</v>
      </c>
    </row>
    <row r="34" spans="1:10" ht="14.25">
      <c r="A34" s="20">
        <v>28</v>
      </c>
      <c r="B34" s="85" t="s">
        <v>191</v>
      </c>
      <c r="C34" s="59">
        <v>66.06</v>
      </c>
      <c r="D34" s="59">
        <v>63.78</v>
      </c>
      <c r="E34" s="59">
        <f t="shared" si="0"/>
        <v>-2.280000000000001</v>
      </c>
      <c r="F34" s="59">
        <f t="shared" si="1"/>
        <v>-3.4514078110808373</v>
      </c>
      <c r="G34" s="59">
        <v>30.67</v>
      </c>
      <c r="H34" s="59">
        <v>26.84</v>
      </c>
      <c r="I34" s="59">
        <f t="shared" si="2"/>
        <v>-3.830000000000002</v>
      </c>
      <c r="J34" s="59">
        <f t="shared" si="3"/>
        <v>-12.487773068144772</v>
      </c>
    </row>
    <row r="35" spans="1:10" ht="14.25">
      <c r="A35" s="20">
        <v>29</v>
      </c>
      <c r="B35" s="85" t="s">
        <v>192</v>
      </c>
      <c r="C35" s="59">
        <v>852.97</v>
      </c>
      <c r="D35" s="59">
        <v>145.19</v>
      </c>
      <c r="E35" s="59">
        <f t="shared" si="0"/>
        <v>-707.78</v>
      </c>
      <c r="F35" s="59">
        <f t="shared" si="1"/>
        <v>-82.97829935402183</v>
      </c>
      <c r="G35" s="59">
        <v>122.12</v>
      </c>
      <c r="H35" s="59">
        <v>128.58</v>
      </c>
      <c r="I35" s="59">
        <f t="shared" si="2"/>
        <v>6.460000000000008</v>
      </c>
      <c r="J35" s="59">
        <f t="shared" si="3"/>
        <v>5.2898788077301075</v>
      </c>
    </row>
    <row r="36" spans="1:10" ht="14.25">
      <c r="A36" s="20">
        <v>30</v>
      </c>
      <c r="B36" s="85" t="s">
        <v>194</v>
      </c>
      <c r="C36" s="59">
        <v>315.89</v>
      </c>
      <c r="D36" s="59">
        <v>201.54</v>
      </c>
      <c r="E36" s="59">
        <f t="shared" si="0"/>
        <v>-114.35</v>
      </c>
      <c r="F36" s="59">
        <f t="shared" si="1"/>
        <v>-36.19930988635284</v>
      </c>
      <c r="G36" s="59">
        <v>134.29</v>
      </c>
      <c r="H36" s="59">
        <v>108.11</v>
      </c>
      <c r="I36" s="59">
        <f t="shared" si="2"/>
        <v>-26.179999999999993</v>
      </c>
      <c r="J36" s="59">
        <f t="shared" si="3"/>
        <v>-19.49512249609055</v>
      </c>
    </row>
    <row r="37" spans="1:10" ht="14.25">
      <c r="A37" s="20">
        <v>31</v>
      </c>
      <c r="B37" s="85" t="s">
        <v>195</v>
      </c>
      <c r="C37" s="59">
        <v>1029.4</v>
      </c>
      <c r="D37" s="59">
        <v>821.34</v>
      </c>
      <c r="E37" s="59">
        <f t="shared" si="0"/>
        <v>-208.06000000000006</v>
      </c>
      <c r="F37" s="59">
        <f t="shared" si="1"/>
        <v>-20.211773848843993</v>
      </c>
      <c r="G37" s="59">
        <v>469.84</v>
      </c>
      <c r="H37" s="59">
        <v>182.53</v>
      </c>
      <c r="I37" s="59">
        <f t="shared" si="2"/>
        <v>-287.30999999999995</v>
      </c>
      <c r="J37" s="59">
        <f t="shared" si="3"/>
        <v>-61.150604461093124</v>
      </c>
    </row>
    <row r="38" spans="1:10" ht="14.25">
      <c r="A38" s="20">
        <v>32</v>
      </c>
      <c r="B38" s="85" t="s">
        <v>196</v>
      </c>
      <c r="C38" s="59">
        <v>595.74</v>
      </c>
      <c r="D38" s="59">
        <v>375.9</v>
      </c>
      <c r="E38" s="59">
        <f t="shared" si="0"/>
        <v>-219.84000000000003</v>
      </c>
      <c r="F38" s="59">
        <f t="shared" si="1"/>
        <v>-36.90200423003324</v>
      </c>
      <c r="G38" s="59">
        <v>394.24</v>
      </c>
      <c r="H38" s="59">
        <v>206.77</v>
      </c>
      <c r="I38" s="59">
        <f t="shared" si="2"/>
        <v>-187.47</v>
      </c>
      <c r="J38" s="59">
        <f t="shared" si="3"/>
        <v>-47.552252435064936</v>
      </c>
    </row>
    <row r="39" spans="1:10" ht="14.25">
      <c r="A39" s="20">
        <v>33</v>
      </c>
      <c r="B39" s="85" t="s">
        <v>197</v>
      </c>
      <c r="C39" s="59">
        <v>952.64</v>
      </c>
      <c r="D39" s="59">
        <v>633.8</v>
      </c>
      <c r="E39" s="59">
        <f t="shared" si="0"/>
        <v>-318.84000000000003</v>
      </c>
      <c r="F39" s="59">
        <f t="shared" si="1"/>
        <v>-33.469096405777634</v>
      </c>
      <c r="G39" s="59">
        <v>792.93</v>
      </c>
      <c r="H39" s="59">
        <v>388.97</v>
      </c>
      <c r="I39" s="59">
        <f t="shared" si="2"/>
        <v>-403.9599999999999</v>
      </c>
      <c r="J39" s="59">
        <f t="shared" si="3"/>
        <v>-50.94522845648417</v>
      </c>
    </row>
    <row r="40" spans="1:10" ht="14.25">
      <c r="A40" s="20">
        <v>34</v>
      </c>
      <c r="B40" s="85" t="s">
        <v>198</v>
      </c>
      <c r="C40" s="59">
        <v>4863.43</v>
      </c>
      <c r="D40" s="59">
        <v>4628.74</v>
      </c>
      <c r="E40" s="59">
        <f t="shared" si="0"/>
        <v>-234.6900000000005</v>
      </c>
      <c r="F40" s="59">
        <f t="shared" si="1"/>
        <v>-4.8256066191967495</v>
      </c>
      <c r="G40" s="59">
        <v>3551.3</v>
      </c>
      <c r="H40" s="59">
        <v>2929.12</v>
      </c>
      <c r="I40" s="59">
        <f t="shared" si="2"/>
        <v>-622.1800000000003</v>
      </c>
      <c r="J40" s="59">
        <f t="shared" si="3"/>
        <v>-17.519781488469018</v>
      </c>
    </row>
    <row r="41" spans="1:10" ht="14.25">
      <c r="A41" s="20">
        <v>35</v>
      </c>
      <c r="B41" s="85" t="s">
        <v>199</v>
      </c>
      <c r="C41" s="59">
        <v>1570.48</v>
      </c>
      <c r="D41" s="59">
        <v>1562.59</v>
      </c>
      <c r="E41" s="59">
        <f t="shared" si="0"/>
        <v>-7.8900000000001</v>
      </c>
      <c r="F41" s="59">
        <f t="shared" si="1"/>
        <v>-0.5023941724823048</v>
      </c>
      <c r="G41" s="59">
        <v>841.2</v>
      </c>
      <c r="H41" s="59">
        <v>728.58</v>
      </c>
      <c r="I41" s="59">
        <f t="shared" si="2"/>
        <v>-112.62</v>
      </c>
      <c r="J41" s="59">
        <f t="shared" si="3"/>
        <v>-13.388017118402281</v>
      </c>
    </row>
    <row r="42" spans="1:10" ht="14.25">
      <c r="A42" s="20">
        <v>36</v>
      </c>
      <c r="B42" s="85" t="s">
        <v>200</v>
      </c>
      <c r="C42" s="59">
        <v>447.06</v>
      </c>
      <c r="D42" s="59">
        <v>248.48</v>
      </c>
      <c r="E42" s="59">
        <f t="shared" si="0"/>
        <v>-198.58</v>
      </c>
      <c r="F42" s="59">
        <f t="shared" si="1"/>
        <v>-44.419093633964124</v>
      </c>
      <c r="G42" s="59">
        <v>336.83</v>
      </c>
      <c r="H42" s="59">
        <v>173.09</v>
      </c>
      <c r="I42" s="59">
        <f t="shared" si="2"/>
        <v>-163.73999999999998</v>
      </c>
      <c r="J42" s="59">
        <f t="shared" si="3"/>
        <v>-48.61205949588813</v>
      </c>
    </row>
    <row r="43" spans="1:10" ht="14.25">
      <c r="A43" s="20">
        <v>37</v>
      </c>
      <c r="B43" s="85" t="s">
        <v>202</v>
      </c>
      <c r="C43" s="59">
        <v>271.34</v>
      </c>
      <c r="D43" s="59">
        <v>172.51</v>
      </c>
      <c r="E43" s="59">
        <f t="shared" si="0"/>
        <v>-98.82999999999998</v>
      </c>
      <c r="F43" s="59">
        <f t="shared" si="1"/>
        <v>-36.42293801135107</v>
      </c>
      <c r="G43" s="59">
        <v>227.73</v>
      </c>
      <c r="H43" s="59">
        <v>156.08</v>
      </c>
      <c r="I43" s="59">
        <f t="shared" si="2"/>
        <v>-71.64999999999998</v>
      </c>
      <c r="J43" s="59">
        <f t="shared" si="3"/>
        <v>-31.462697053528295</v>
      </c>
    </row>
    <row r="44" spans="1:10" ht="14.25">
      <c r="A44" s="20">
        <v>38</v>
      </c>
      <c r="B44" s="85" t="s">
        <v>203</v>
      </c>
      <c r="C44" s="59">
        <v>552.17</v>
      </c>
      <c r="D44" s="59">
        <v>1038.76</v>
      </c>
      <c r="E44" s="59">
        <f t="shared" si="0"/>
        <v>486.59000000000003</v>
      </c>
      <c r="F44" s="59">
        <f t="shared" si="1"/>
        <v>88.1232229204774</v>
      </c>
      <c r="G44" s="59">
        <v>250.08</v>
      </c>
      <c r="H44" s="59">
        <v>647.11</v>
      </c>
      <c r="I44" s="59">
        <f t="shared" si="2"/>
        <v>397.03</v>
      </c>
      <c r="J44" s="59">
        <f t="shared" si="3"/>
        <v>158.7611964171465</v>
      </c>
    </row>
    <row r="45" spans="1:10" ht="14.25">
      <c r="A45" s="24">
        <v>39</v>
      </c>
      <c r="B45" s="3" t="s">
        <v>204</v>
      </c>
      <c r="C45" s="59">
        <v>1522.55</v>
      </c>
      <c r="D45" s="59">
        <v>1868.69</v>
      </c>
      <c r="E45" s="59">
        <f t="shared" si="0"/>
        <v>346.1400000000001</v>
      </c>
      <c r="F45" s="59">
        <f t="shared" si="1"/>
        <v>22.73422876096024</v>
      </c>
      <c r="G45" s="59">
        <v>1029.13</v>
      </c>
      <c r="H45" s="59">
        <v>1072.51</v>
      </c>
      <c r="I45" s="59">
        <f t="shared" si="2"/>
        <v>43.37999999999988</v>
      </c>
      <c r="J45" s="59">
        <f t="shared" si="3"/>
        <v>4.215210906299484</v>
      </c>
    </row>
    <row r="46" spans="1:10" ht="14.25">
      <c r="A46" s="20">
        <v>40</v>
      </c>
      <c r="B46" s="85" t="s">
        <v>205</v>
      </c>
      <c r="C46" s="59">
        <v>230.48</v>
      </c>
      <c r="D46" s="59">
        <v>212.06</v>
      </c>
      <c r="E46" s="59">
        <f t="shared" si="0"/>
        <v>-18.419999999999987</v>
      </c>
      <c r="F46" s="59">
        <f t="shared" si="1"/>
        <v>-7.992016660881633</v>
      </c>
      <c r="G46" s="59">
        <v>223.98</v>
      </c>
      <c r="H46" s="59">
        <v>143.72</v>
      </c>
      <c r="I46" s="59">
        <f t="shared" si="2"/>
        <v>-80.25999999999999</v>
      </c>
      <c r="J46" s="59">
        <f t="shared" si="3"/>
        <v>-35.83355656755067</v>
      </c>
    </row>
    <row r="47" spans="1:10" ht="14.25">
      <c r="A47" s="20">
        <v>41</v>
      </c>
      <c r="B47" s="85" t="s">
        <v>206</v>
      </c>
      <c r="C47" s="59">
        <v>387.37</v>
      </c>
      <c r="D47" s="59">
        <v>2067.87</v>
      </c>
      <c r="E47" s="59">
        <f t="shared" si="0"/>
        <v>1680.5</v>
      </c>
      <c r="F47" s="59">
        <f t="shared" si="1"/>
        <v>433.822959960761</v>
      </c>
      <c r="G47" s="59">
        <v>171.45</v>
      </c>
      <c r="H47" s="59">
        <v>1847.64</v>
      </c>
      <c r="I47" s="59">
        <f t="shared" si="2"/>
        <v>1676.19</v>
      </c>
      <c r="J47" s="59">
        <f t="shared" si="3"/>
        <v>977.6552930883641</v>
      </c>
    </row>
    <row r="48" spans="1:10" ht="14.25">
      <c r="A48" s="20">
        <v>42</v>
      </c>
      <c r="B48" s="85" t="s">
        <v>208</v>
      </c>
      <c r="C48" s="59">
        <v>302.59</v>
      </c>
      <c r="D48" s="59">
        <v>483.31</v>
      </c>
      <c r="E48" s="59">
        <f t="shared" si="0"/>
        <v>180.72000000000003</v>
      </c>
      <c r="F48" s="59">
        <f t="shared" si="1"/>
        <v>59.72437952344758</v>
      </c>
      <c r="G48" s="59">
        <v>243.19</v>
      </c>
      <c r="H48" s="59">
        <v>316.28</v>
      </c>
      <c r="I48" s="59">
        <f t="shared" si="2"/>
        <v>73.08999999999997</v>
      </c>
      <c r="J48" s="59">
        <f t="shared" si="3"/>
        <v>30.054689748756108</v>
      </c>
    </row>
    <row r="49" spans="1:10" ht="14.25">
      <c r="A49" s="20">
        <v>43</v>
      </c>
      <c r="B49" s="85" t="s">
        <v>209</v>
      </c>
      <c r="C49" s="59">
        <v>153.62</v>
      </c>
      <c r="D49" s="59">
        <v>222.66</v>
      </c>
      <c r="E49" s="59">
        <f t="shared" si="0"/>
        <v>69.03999999999999</v>
      </c>
      <c r="F49" s="59">
        <f t="shared" si="1"/>
        <v>44.942064835307896</v>
      </c>
      <c r="G49" s="59">
        <v>101.19</v>
      </c>
      <c r="H49" s="59">
        <v>156.28</v>
      </c>
      <c r="I49" s="59">
        <f t="shared" si="2"/>
        <v>55.09</v>
      </c>
      <c r="J49" s="59">
        <f t="shared" si="3"/>
        <v>54.44213855124025</v>
      </c>
    </row>
    <row r="50" spans="1:10" ht="14.25">
      <c r="A50" s="20">
        <v>44</v>
      </c>
      <c r="B50" s="85" t="s">
        <v>210</v>
      </c>
      <c r="C50" s="59">
        <v>311.64</v>
      </c>
      <c r="D50" s="59">
        <v>597.91</v>
      </c>
      <c r="E50" s="59">
        <f t="shared" si="0"/>
        <v>286.27</v>
      </c>
      <c r="F50" s="59">
        <f t="shared" si="1"/>
        <v>91.8591965087922</v>
      </c>
      <c r="G50" s="59">
        <v>229.81</v>
      </c>
      <c r="H50" s="59">
        <v>353.28</v>
      </c>
      <c r="I50" s="59">
        <f t="shared" si="2"/>
        <v>123.46999999999997</v>
      </c>
      <c r="J50" s="59">
        <f t="shared" si="3"/>
        <v>53.72699186284321</v>
      </c>
    </row>
    <row r="51" spans="1:10" ht="14.25">
      <c r="A51" s="20">
        <v>45</v>
      </c>
      <c r="B51" s="85" t="s">
        <v>211</v>
      </c>
      <c r="C51" s="59">
        <v>256.45</v>
      </c>
      <c r="D51" s="59">
        <v>381.15</v>
      </c>
      <c r="E51" s="59">
        <f t="shared" si="0"/>
        <v>124.69999999999999</v>
      </c>
      <c r="F51" s="59">
        <f t="shared" si="1"/>
        <v>48.625463053226746</v>
      </c>
      <c r="G51" s="59">
        <v>176.86</v>
      </c>
      <c r="H51" s="59">
        <v>290.44</v>
      </c>
      <c r="I51" s="59">
        <f t="shared" si="2"/>
        <v>113.57999999999998</v>
      </c>
      <c r="J51" s="59">
        <f t="shared" si="3"/>
        <v>64.22028723283952</v>
      </c>
    </row>
    <row r="52" spans="1:10" ht="14.25">
      <c r="A52" s="20">
        <v>46</v>
      </c>
      <c r="B52" s="85" t="s">
        <v>212</v>
      </c>
      <c r="C52" s="59">
        <v>72.36</v>
      </c>
      <c r="D52" s="59">
        <v>107.71</v>
      </c>
      <c r="E52" s="59">
        <f t="shared" si="0"/>
        <v>35.349999999999994</v>
      </c>
      <c r="F52" s="59">
        <f t="shared" si="1"/>
        <v>48.85295743504698</v>
      </c>
      <c r="G52" s="59">
        <v>54.75</v>
      </c>
      <c r="H52" s="59">
        <v>67.96</v>
      </c>
      <c r="I52" s="59">
        <f t="shared" si="2"/>
        <v>13.209999999999994</v>
      </c>
      <c r="J52" s="59">
        <f t="shared" si="3"/>
        <v>24.127853881278526</v>
      </c>
    </row>
    <row r="53" spans="1:10" ht="14.25">
      <c r="A53" s="20">
        <v>47</v>
      </c>
      <c r="B53" s="85" t="s">
        <v>214</v>
      </c>
      <c r="C53" s="59">
        <v>68.12</v>
      </c>
      <c r="D53" s="59">
        <v>80.64</v>
      </c>
      <c r="E53" s="59">
        <f t="shared" si="0"/>
        <v>12.519999999999996</v>
      </c>
      <c r="F53" s="59">
        <f t="shared" si="1"/>
        <v>18.379330593071046</v>
      </c>
      <c r="G53" s="59">
        <v>65.48</v>
      </c>
      <c r="H53" s="59">
        <v>77.24</v>
      </c>
      <c r="I53" s="59">
        <f t="shared" si="2"/>
        <v>11.759999999999991</v>
      </c>
      <c r="J53" s="59">
        <f t="shared" si="3"/>
        <v>17.959682345754413</v>
      </c>
    </row>
    <row r="54" spans="1:10" ht="14.25">
      <c r="A54" s="20">
        <v>48</v>
      </c>
      <c r="B54" s="85" t="s">
        <v>215</v>
      </c>
      <c r="C54" s="59">
        <v>54.09</v>
      </c>
      <c r="D54" s="59">
        <v>81.42</v>
      </c>
      <c r="E54" s="59">
        <f t="shared" si="0"/>
        <v>27.33</v>
      </c>
      <c r="F54" s="59">
        <f t="shared" si="1"/>
        <v>50.52689961175817</v>
      </c>
      <c r="G54" s="59">
        <v>52.92</v>
      </c>
      <c r="H54" s="59">
        <v>79.07</v>
      </c>
      <c r="I54" s="59">
        <f t="shared" si="2"/>
        <v>26.14999999999999</v>
      </c>
      <c r="J54" s="59">
        <f t="shared" si="3"/>
        <v>49.414210128495824</v>
      </c>
    </row>
    <row r="55" spans="1:10" ht="14.25">
      <c r="A55" s="20">
        <v>49</v>
      </c>
      <c r="B55" s="85" t="s">
        <v>216</v>
      </c>
      <c r="C55" s="59">
        <v>78.11</v>
      </c>
      <c r="D55" s="59">
        <v>81.63</v>
      </c>
      <c r="E55" s="59">
        <f t="shared" si="0"/>
        <v>3.519999999999996</v>
      </c>
      <c r="F55" s="59">
        <f t="shared" si="1"/>
        <v>4.50646524132633</v>
      </c>
      <c r="G55" s="59">
        <v>76.67</v>
      </c>
      <c r="H55" s="59">
        <v>79.77</v>
      </c>
      <c r="I55" s="59">
        <f t="shared" si="2"/>
        <v>3.0999999999999943</v>
      </c>
      <c r="J55" s="59">
        <f t="shared" si="3"/>
        <v>4.043302465110205</v>
      </c>
    </row>
    <row r="56" spans="1:10" ht="14.25">
      <c r="A56" s="20">
        <v>50</v>
      </c>
      <c r="B56" s="85" t="s">
        <v>217</v>
      </c>
      <c r="C56" s="59">
        <v>76.06</v>
      </c>
      <c r="D56" s="59">
        <v>79.97</v>
      </c>
      <c r="E56" s="59">
        <f t="shared" si="0"/>
        <v>3.9099999999999966</v>
      </c>
      <c r="F56" s="59">
        <f t="shared" si="1"/>
        <v>5.1406784117801685</v>
      </c>
      <c r="G56" s="59">
        <v>75.34</v>
      </c>
      <c r="H56" s="59">
        <v>78.8</v>
      </c>
      <c r="I56" s="59">
        <f t="shared" si="2"/>
        <v>3.4599999999999937</v>
      </c>
      <c r="J56" s="59">
        <f t="shared" si="3"/>
        <v>4.592513936819742</v>
      </c>
    </row>
    <row r="57" spans="1:10" ht="14.25">
      <c r="A57" s="20">
        <v>51</v>
      </c>
      <c r="B57" s="85" t="s">
        <v>218</v>
      </c>
      <c r="C57" s="59">
        <v>99.99</v>
      </c>
      <c r="D57" s="59">
        <v>88.76</v>
      </c>
      <c r="E57" s="59">
        <f t="shared" si="0"/>
        <v>-11.22999999999999</v>
      </c>
      <c r="F57" s="59">
        <f t="shared" si="1"/>
        <v>-11.231123112311222</v>
      </c>
      <c r="G57" s="59">
        <v>98.34</v>
      </c>
      <c r="H57" s="59">
        <v>85.31</v>
      </c>
      <c r="I57" s="59">
        <f t="shared" si="2"/>
        <v>-13.030000000000001</v>
      </c>
      <c r="J57" s="59">
        <f t="shared" si="3"/>
        <v>-13.249949155989423</v>
      </c>
    </row>
    <row r="58" spans="1:10" ht="14.25">
      <c r="A58" s="20">
        <v>52</v>
      </c>
      <c r="B58" s="85" t="s">
        <v>219</v>
      </c>
      <c r="C58" s="59">
        <v>165.65</v>
      </c>
      <c r="D58" s="59">
        <v>78.26</v>
      </c>
      <c r="E58" s="59">
        <f t="shared" si="0"/>
        <v>-87.39</v>
      </c>
      <c r="F58" s="59">
        <f t="shared" si="1"/>
        <v>-52.75581044370661</v>
      </c>
      <c r="G58" s="59">
        <v>156.33</v>
      </c>
      <c r="H58" s="59">
        <v>75.62</v>
      </c>
      <c r="I58" s="59">
        <f t="shared" si="2"/>
        <v>-80.71000000000001</v>
      </c>
      <c r="J58" s="59">
        <f t="shared" si="3"/>
        <v>-51.62796648116165</v>
      </c>
    </row>
    <row r="59" spans="1:10" ht="14.25">
      <c r="A59" s="20">
        <v>53</v>
      </c>
      <c r="B59" s="85" t="s">
        <v>221</v>
      </c>
      <c r="C59" s="59">
        <v>1201.54</v>
      </c>
      <c r="D59" s="59">
        <v>1496.89</v>
      </c>
      <c r="E59" s="59">
        <f t="shared" si="0"/>
        <v>295.35000000000014</v>
      </c>
      <c r="F59" s="59">
        <f t="shared" si="1"/>
        <v>24.5809544417997</v>
      </c>
      <c r="G59" s="59">
        <v>929.58</v>
      </c>
      <c r="H59" s="59">
        <v>1229.54</v>
      </c>
      <c r="I59" s="59">
        <f t="shared" si="2"/>
        <v>299.9599999999999</v>
      </c>
      <c r="J59" s="59">
        <f t="shared" si="3"/>
        <v>32.26833623787086</v>
      </c>
    </row>
    <row r="60" spans="1:10" ht="14.25">
      <c r="A60" s="20">
        <v>54</v>
      </c>
      <c r="B60" s="85" t="s">
        <v>222</v>
      </c>
      <c r="C60" s="59">
        <v>191.2</v>
      </c>
      <c r="D60" s="59">
        <v>281.56</v>
      </c>
      <c r="E60" s="59">
        <f t="shared" si="0"/>
        <v>90.36000000000001</v>
      </c>
      <c r="F60" s="59">
        <f t="shared" si="1"/>
        <v>47.259414225941434</v>
      </c>
      <c r="G60" s="59">
        <v>229.09</v>
      </c>
      <c r="H60" s="59">
        <v>232.02</v>
      </c>
      <c r="I60" s="59">
        <f t="shared" si="2"/>
        <v>2.930000000000007</v>
      </c>
      <c r="J60" s="59">
        <f t="shared" si="3"/>
        <v>1.278973329259246</v>
      </c>
    </row>
    <row r="61" spans="1:10" ht="14.25">
      <c r="A61" s="20">
        <v>55</v>
      </c>
      <c r="B61" s="85" t="s">
        <v>223</v>
      </c>
      <c r="C61" s="59">
        <v>226.11</v>
      </c>
      <c r="D61" s="59">
        <v>114.06</v>
      </c>
      <c r="E61" s="59">
        <f t="shared" si="0"/>
        <v>-112.05000000000001</v>
      </c>
      <c r="F61" s="59">
        <f t="shared" si="1"/>
        <v>-49.55552607138119</v>
      </c>
      <c r="G61" s="59">
        <v>65.01</v>
      </c>
      <c r="H61" s="59">
        <v>87.35</v>
      </c>
      <c r="I61" s="59">
        <f t="shared" si="2"/>
        <v>22.33999999999999</v>
      </c>
      <c r="J61" s="59">
        <f t="shared" si="3"/>
        <v>34.36394400861404</v>
      </c>
    </row>
    <row r="62" spans="1:10" ht="14.25">
      <c r="A62" s="20">
        <v>56</v>
      </c>
      <c r="B62" s="85" t="s">
        <v>225</v>
      </c>
      <c r="C62" s="59">
        <v>84.1</v>
      </c>
      <c r="D62" s="59">
        <v>78.62</v>
      </c>
      <c r="E62" s="59">
        <f t="shared" si="0"/>
        <v>-5.47999999999999</v>
      </c>
      <c r="F62" s="59">
        <f t="shared" si="1"/>
        <v>-6.51605231866824</v>
      </c>
      <c r="G62" s="59">
        <v>76.89</v>
      </c>
      <c r="H62" s="59">
        <v>71.26</v>
      </c>
      <c r="I62" s="59">
        <f t="shared" si="2"/>
        <v>-5.6299999999999955</v>
      </c>
      <c r="J62" s="59">
        <f t="shared" si="3"/>
        <v>-7.3221485238652555</v>
      </c>
    </row>
    <row r="63" spans="1:10" ht="14.25">
      <c r="A63" s="20">
        <v>57</v>
      </c>
      <c r="B63" s="85" t="s">
        <v>226</v>
      </c>
      <c r="C63" s="59">
        <v>82.5</v>
      </c>
      <c r="D63" s="59">
        <v>76.51</v>
      </c>
      <c r="E63" s="59">
        <f t="shared" si="0"/>
        <v>-5.989999999999995</v>
      </c>
      <c r="F63" s="59">
        <f t="shared" si="1"/>
        <v>-7.2606060606060545</v>
      </c>
      <c r="G63" s="59">
        <v>69.75</v>
      </c>
      <c r="H63" s="59">
        <v>66.59</v>
      </c>
      <c r="I63" s="59">
        <f t="shared" si="2"/>
        <v>-3.1599999999999966</v>
      </c>
      <c r="J63" s="59">
        <f t="shared" si="3"/>
        <v>-4.530465949820783</v>
      </c>
    </row>
    <row r="64" spans="1:10" ht="14.25">
      <c r="A64" s="20">
        <v>58</v>
      </c>
      <c r="B64" s="85" t="s">
        <v>227</v>
      </c>
      <c r="C64" s="59">
        <v>40.55</v>
      </c>
      <c r="D64" s="59">
        <v>69.12</v>
      </c>
      <c r="E64" s="59">
        <f t="shared" si="0"/>
        <v>28.570000000000007</v>
      </c>
      <c r="F64" s="59">
        <f t="shared" si="1"/>
        <v>70.4562268803946</v>
      </c>
      <c r="G64" s="59">
        <v>31.45</v>
      </c>
      <c r="H64" s="59">
        <v>59.68</v>
      </c>
      <c r="I64" s="59">
        <f t="shared" si="2"/>
        <v>28.23</v>
      </c>
      <c r="J64" s="59">
        <f t="shared" si="3"/>
        <v>89.76152623211448</v>
      </c>
    </row>
    <row r="65" spans="1:10" ht="14.25">
      <c r="A65" s="20">
        <v>59</v>
      </c>
      <c r="B65" s="85" t="s">
        <v>229</v>
      </c>
      <c r="C65" s="59">
        <v>455.8</v>
      </c>
      <c r="D65" s="59">
        <v>371.25</v>
      </c>
      <c r="E65" s="59">
        <f t="shared" si="0"/>
        <v>-84.55000000000001</v>
      </c>
      <c r="F65" s="59">
        <f t="shared" si="1"/>
        <v>-18.54980254497587</v>
      </c>
      <c r="G65" s="59">
        <v>376.2</v>
      </c>
      <c r="H65" s="59">
        <v>226.24</v>
      </c>
      <c r="I65" s="59">
        <f t="shared" si="2"/>
        <v>-149.95999999999998</v>
      </c>
      <c r="J65" s="59">
        <f t="shared" si="3"/>
        <v>-39.86177565124933</v>
      </c>
    </row>
    <row r="66" spans="1:10" ht="14.25">
      <c r="A66" s="20">
        <v>60</v>
      </c>
      <c r="B66" s="85" t="s">
        <v>230</v>
      </c>
      <c r="C66" s="59">
        <v>190.92</v>
      </c>
      <c r="D66" s="59">
        <v>514.88</v>
      </c>
      <c r="E66" s="59">
        <f t="shared" si="0"/>
        <v>323.96000000000004</v>
      </c>
      <c r="F66" s="59">
        <f t="shared" si="1"/>
        <v>169.6836371254976</v>
      </c>
      <c r="G66" s="59">
        <v>153.05</v>
      </c>
      <c r="H66" s="59">
        <v>408.3</v>
      </c>
      <c r="I66" s="59">
        <f t="shared" si="2"/>
        <v>255.25</v>
      </c>
      <c r="J66" s="59">
        <f t="shared" si="3"/>
        <v>166.77556354132633</v>
      </c>
    </row>
    <row r="67" spans="1:10" ht="14.25">
      <c r="A67" s="20">
        <v>61</v>
      </c>
      <c r="B67" s="85" t="s">
        <v>231</v>
      </c>
      <c r="C67" s="59">
        <v>271.62</v>
      </c>
      <c r="D67" s="59">
        <v>272.59</v>
      </c>
      <c r="E67" s="59">
        <f t="shared" si="0"/>
        <v>0.9699999999999704</v>
      </c>
      <c r="F67" s="59">
        <f t="shared" si="1"/>
        <v>0.3571165598998492</v>
      </c>
      <c r="G67" s="59">
        <v>156.96</v>
      </c>
      <c r="H67" s="59">
        <v>123.76</v>
      </c>
      <c r="I67" s="59">
        <f t="shared" si="2"/>
        <v>-33.2</v>
      </c>
      <c r="J67" s="59">
        <f t="shared" si="3"/>
        <v>-21.151885830784913</v>
      </c>
    </row>
    <row r="68" spans="1:10" ht="14.25">
      <c r="A68" s="20">
        <v>62</v>
      </c>
      <c r="B68" s="85" t="s">
        <v>233</v>
      </c>
      <c r="C68" s="59">
        <v>588.18</v>
      </c>
      <c r="D68" s="59">
        <v>397.51</v>
      </c>
      <c r="E68" s="59">
        <f t="shared" si="0"/>
        <v>-190.66999999999996</v>
      </c>
      <c r="F68" s="59">
        <f t="shared" si="1"/>
        <v>-32.41694719303614</v>
      </c>
      <c r="G68" s="59">
        <v>108.5</v>
      </c>
      <c r="H68" s="59">
        <v>156.21</v>
      </c>
      <c r="I68" s="59">
        <f t="shared" si="2"/>
        <v>47.71000000000001</v>
      </c>
      <c r="J68" s="59">
        <f t="shared" si="3"/>
        <v>43.972350230414754</v>
      </c>
    </row>
    <row r="69" spans="1:10" ht="14.25">
      <c r="A69" s="20">
        <v>63</v>
      </c>
      <c r="B69" s="85" t="s">
        <v>234</v>
      </c>
      <c r="C69" s="59">
        <v>116.82</v>
      </c>
      <c r="D69" s="59">
        <v>285.21</v>
      </c>
      <c r="E69" s="59">
        <f t="shared" si="0"/>
        <v>168.39</v>
      </c>
      <c r="F69" s="59">
        <f t="shared" si="1"/>
        <v>144.14483821263482</v>
      </c>
      <c r="G69" s="59">
        <v>87.31</v>
      </c>
      <c r="H69" s="59">
        <v>165.03</v>
      </c>
      <c r="I69" s="59">
        <f t="shared" si="2"/>
        <v>77.72</v>
      </c>
      <c r="J69" s="59">
        <f t="shared" si="3"/>
        <v>89.01614935288053</v>
      </c>
    </row>
    <row r="70" spans="1:10" s="63" customFormat="1" ht="15">
      <c r="A70" s="21"/>
      <c r="B70" s="81" t="s">
        <v>138</v>
      </c>
      <c r="C70" s="60">
        <f>SUM(C7:C69)</f>
        <v>30696.39999999999</v>
      </c>
      <c r="D70" s="60">
        <f>SUM(D7:D69)</f>
        <v>30998.81999999999</v>
      </c>
      <c r="E70" s="60">
        <f t="shared" si="0"/>
        <v>302.41999999999825</v>
      </c>
      <c r="F70" s="60">
        <f t="shared" si="1"/>
        <v>0.985196961207172</v>
      </c>
      <c r="G70" s="60">
        <f>SUM(G7:G69)</f>
        <v>20183.460000000003</v>
      </c>
      <c r="H70" s="60">
        <f>SUM(H7:H69)</f>
        <v>22136.639999999992</v>
      </c>
      <c r="I70" s="60">
        <f>H70-G70</f>
        <v>1953.1799999999894</v>
      </c>
      <c r="J70" s="60">
        <f>I70/G70*100</f>
        <v>9.67713167118021</v>
      </c>
    </row>
  </sheetData>
  <mergeCells count="8">
    <mergeCell ref="A1:J1"/>
    <mergeCell ref="A2:J2"/>
    <mergeCell ref="A3:J3"/>
    <mergeCell ref="A4:J4"/>
    <mergeCell ref="A5:A6"/>
    <mergeCell ref="B5:B6"/>
    <mergeCell ref="C5:F5"/>
    <mergeCell ref="G5:J5"/>
  </mergeCells>
  <printOptions/>
  <pageMargins left="0.34" right="0.28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3">
      <selection activeCell="M41" sqref="M41"/>
    </sheetView>
  </sheetViews>
  <sheetFormatPr defaultColWidth="9.140625" defaultRowHeight="12.75"/>
  <cols>
    <col min="1" max="1" width="3.00390625" style="0" customWidth="1"/>
    <col min="2" max="2" width="20.00390625" style="0" customWidth="1"/>
    <col min="5" max="5" width="10.57421875" style="0" customWidth="1"/>
    <col min="9" max="9" width="10.8515625" style="0" customWidth="1"/>
  </cols>
  <sheetData>
    <row r="1" spans="1:10" ht="12.75">
      <c r="A1" s="211" t="s">
        <v>242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2.75">
      <c r="A2" s="211" t="s">
        <v>251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5.75">
      <c r="A3" s="200" t="s">
        <v>252</v>
      </c>
      <c r="B3" s="201"/>
      <c r="C3" s="201"/>
      <c r="D3" s="201"/>
      <c r="E3" s="201"/>
      <c r="F3" s="201"/>
      <c r="G3" s="201"/>
      <c r="H3" s="201"/>
      <c r="I3" s="201"/>
      <c r="J3" s="202"/>
    </row>
    <row r="4" spans="1:10" ht="12.75">
      <c r="A4" s="203" t="s">
        <v>2</v>
      </c>
      <c r="B4" s="204"/>
      <c r="C4" s="204"/>
      <c r="D4" s="204"/>
      <c r="E4" s="204"/>
      <c r="F4" s="204"/>
      <c r="G4" s="204"/>
      <c r="H4" s="204"/>
      <c r="I4" s="204"/>
      <c r="J4" s="205"/>
    </row>
    <row r="5" spans="1:10" ht="12.75">
      <c r="A5" s="199" t="s">
        <v>156</v>
      </c>
      <c r="B5" s="147" t="s">
        <v>3</v>
      </c>
      <c r="C5" s="206" t="s">
        <v>39</v>
      </c>
      <c r="D5" s="207"/>
      <c r="E5" s="207"/>
      <c r="F5" s="208"/>
      <c r="G5" s="152" t="s">
        <v>244</v>
      </c>
      <c r="H5" s="152"/>
      <c r="I5" s="152"/>
      <c r="J5" s="152"/>
    </row>
    <row r="6" spans="1:10" ht="52.5" customHeight="1">
      <c r="A6" s="199"/>
      <c r="B6" s="147"/>
      <c r="C6" s="104" t="s">
        <v>129</v>
      </c>
      <c r="D6" s="104" t="s">
        <v>130</v>
      </c>
      <c r="E6" s="105" t="s">
        <v>245</v>
      </c>
      <c r="F6" s="90" t="s">
        <v>246</v>
      </c>
      <c r="G6" s="104" t="s">
        <v>129</v>
      </c>
      <c r="H6" s="104" t="s">
        <v>130</v>
      </c>
      <c r="I6" s="105" t="s">
        <v>247</v>
      </c>
      <c r="J6" s="90" t="s">
        <v>246</v>
      </c>
    </row>
    <row r="7" spans="1:10" ht="14.25">
      <c r="A7" s="20">
        <v>1</v>
      </c>
      <c r="B7" s="85" t="s">
        <v>159</v>
      </c>
      <c r="C7" s="59">
        <v>953.42</v>
      </c>
      <c r="D7" s="59">
        <v>985.96</v>
      </c>
      <c r="E7" s="59">
        <f aca="true" t="shared" si="0" ref="E7:E70">D7-C7</f>
        <v>32.54000000000008</v>
      </c>
      <c r="F7" s="59">
        <f aca="true" t="shared" si="1" ref="F7:F70">E7/C7*100</f>
        <v>3.412976442701021</v>
      </c>
      <c r="G7" s="59">
        <v>695.36</v>
      </c>
      <c r="H7" s="59">
        <v>762.07</v>
      </c>
      <c r="I7" s="59">
        <f aca="true" t="shared" si="2" ref="I7:I66">H7-G7</f>
        <v>66.71000000000004</v>
      </c>
      <c r="J7" s="59">
        <f aca="true" t="shared" si="3" ref="J7:J66">I7/G7*100</f>
        <v>9.5935918085596</v>
      </c>
    </row>
    <row r="8" spans="1:10" ht="14.25">
      <c r="A8" s="20">
        <v>2</v>
      </c>
      <c r="B8" s="85" t="s">
        <v>160</v>
      </c>
      <c r="C8" s="59">
        <v>323.36</v>
      </c>
      <c r="D8" s="59">
        <v>322.08</v>
      </c>
      <c r="E8" s="59">
        <f t="shared" si="0"/>
        <v>-1.2800000000000296</v>
      </c>
      <c r="F8" s="59">
        <f t="shared" si="1"/>
        <v>-0.3958436417615134</v>
      </c>
      <c r="G8" s="59">
        <v>217.04</v>
      </c>
      <c r="H8" s="59">
        <v>206.56</v>
      </c>
      <c r="I8" s="59">
        <f t="shared" si="2"/>
        <v>-10.47999999999999</v>
      </c>
      <c r="J8" s="59">
        <f t="shared" si="3"/>
        <v>-4.82860302248433</v>
      </c>
    </row>
    <row r="9" spans="1:10" ht="14.25">
      <c r="A9" s="20">
        <v>3</v>
      </c>
      <c r="B9" s="85" t="s">
        <v>161</v>
      </c>
      <c r="C9" s="59">
        <v>185.36</v>
      </c>
      <c r="D9" s="59">
        <v>152.5</v>
      </c>
      <c r="E9" s="59">
        <f t="shared" si="0"/>
        <v>-32.860000000000014</v>
      </c>
      <c r="F9" s="59">
        <f t="shared" si="1"/>
        <v>-17.72766508416056</v>
      </c>
      <c r="G9" s="59">
        <v>128</v>
      </c>
      <c r="H9" s="59">
        <v>141.25</v>
      </c>
      <c r="I9" s="59">
        <f t="shared" si="2"/>
        <v>13.25</v>
      </c>
      <c r="J9" s="59">
        <f t="shared" si="3"/>
        <v>10.3515625</v>
      </c>
    </row>
    <row r="10" spans="1:10" ht="14.25">
      <c r="A10" s="20">
        <v>4</v>
      </c>
      <c r="B10" s="85" t="s">
        <v>162</v>
      </c>
      <c r="C10" s="59">
        <v>186.03</v>
      </c>
      <c r="D10" s="59">
        <v>282.11</v>
      </c>
      <c r="E10" s="59">
        <f t="shared" si="0"/>
        <v>96.08000000000001</v>
      </c>
      <c r="F10" s="59">
        <f t="shared" si="1"/>
        <v>51.647583723055426</v>
      </c>
      <c r="G10" s="59">
        <v>180.27</v>
      </c>
      <c r="H10" s="59">
        <v>223.77</v>
      </c>
      <c r="I10" s="59">
        <f t="shared" si="2"/>
        <v>43.5</v>
      </c>
      <c r="J10" s="59">
        <f t="shared" si="3"/>
        <v>24.130470960226326</v>
      </c>
    </row>
    <row r="11" spans="1:10" ht="14.25">
      <c r="A11" s="20">
        <v>5</v>
      </c>
      <c r="B11" s="85" t="s">
        <v>164</v>
      </c>
      <c r="C11" s="59">
        <v>390.25</v>
      </c>
      <c r="D11" s="59">
        <v>423.48</v>
      </c>
      <c r="E11" s="59">
        <f t="shared" si="0"/>
        <v>33.23000000000002</v>
      </c>
      <c r="F11" s="59">
        <f t="shared" si="1"/>
        <v>8.515054452274187</v>
      </c>
      <c r="G11" s="59">
        <v>395.96</v>
      </c>
      <c r="H11" s="59">
        <v>398.12</v>
      </c>
      <c r="I11" s="59">
        <f t="shared" si="2"/>
        <v>2.160000000000025</v>
      </c>
      <c r="J11" s="59">
        <f t="shared" si="3"/>
        <v>0.5455096474391417</v>
      </c>
    </row>
    <row r="12" spans="1:10" ht="14.25">
      <c r="A12" s="20">
        <v>6</v>
      </c>
      <c r="B12" s="85" t="s">
        <v>165</v>
      </c>
      <c r="C12" s="59">
        <v>215.38</v>
      </c>
      <c r="D12" s="59">
        <v>264.21</v>
      </c>
      <c r="E12" s="59">
        <f t="shared" si="0"/>
        <v>48.829999999999984</v>
      </c>
      <c r="F12" s="59">
        <f t="shared" si="1"/>
        <v>22.6715572476553</v>
      </c>
      <c r="G12" s="59">
        <v>238.94</v>
      </c>
      <c r="H12" s="59">
        <v>258.67</v>
      </c>
      <c r="I12" s="59">
        <f t="shared" si="2"/>
        <v>19.730000000000018</v>
      </c>
      <c r="J12" s="59">
        <f t="shared" si="3"/>
        <v>8.257303088641507</v>
      </c>
    </row>
    <row r="13" spans="1:10" ht="14.25">
      <c r="A13" s="20">
        <v>7</v>
      </c>
      <c r="B13" s="85" t="s">
        <v>166</v>
      </c>
      <c r="C13" s="59">
        <v>163.37</v>
      </c>
      <c r="D13" s="59">
        <v>164.55</v>
      </c>
      <c r="E13" s="59">
        <f t="shared" si="0"/>
        <v>1.1800000000000068</v>
      </c>
      <c r="F13" s="59">
        <f t="shared" si="1"/>
        <v>0.7222868335679787</v>
      </c>
      <c r="G13" s="59">
        <v>152.46</v>
      </c>
      <c r="H13" s="59">
        <v>159.94</v>
      </c>
      <c r="I13" s="59">
        <f t="shared" si="2"/>
        <v>7.47999999999999</v>
      </c>
      <c r="J13" s="59">
        <f t="shared" si="3"/>
        <v>4.906204906204899</v>
      </c>
    </row>
    <row r="14" spans="1:10" ht="14.25">
      <c r="A14" s="20">
        <v>8</v>
      </c>
      <c r="B14" s="85" t="s">
        <v>167</v>
      </c>
      <c r="C14" s="59">
        <v>104.06</v>
      </c>
      <c r="D14" s="59">
        <v>127.79</v>
      </c>
      <c r="E14" s="59">
        <f t="shared" si="0"/>
        <v>23.730000000000004</v>
      </c>
      <c r="F14" s="59">
        <f t="shared" si="1"/>
        <v>22.804151451085914</v>
      </c>
      <c r="G14" s="59">
        <v>101.05</v>
      </c>
      <c r="H14" s="59">
        <v>105.59</v>
      </c>
      <c r="I14" s="59">
        <f t="shared" si="2"/>
        <v>4.540000000000006</v>
      </c>
      <c r="J14" s="59">
        <f t="shared" si="3"/>
        <v>4.492825333993079</v>
      </c>
    </row>
    <row r="15" spans="1:10" ht="14.25">
      <c r="A15" s="20">
        <v>9</v>
      </c>
      <c r="B15" s="85" t="s">
        <v>168</v>
      </c>
      <c r="C15" s="59">
        <v>86.21</v>
      </c>
      <c r="D15" s="59">
        <v>86.66</v>
      </c>
      <c r="E15" s="59">
        <f t="shared" si="0"/>
        <v>0.45000000000000284</v>
      </c>
      <c r="F15" s="59">
        <f t="shared" si="1"/>
        <v>0.5219812086764909</v>
      </c>
      <c r="G15" s="59">
        <v>94.62</v>
      </c>
      <c r="H15" s="59">
        <v>88.98</v>
      </c>
      <c r="I15" s="59">
        <f t="shared" si="2"/>
        <v>-5.640000000000001</v>
      </c>
      <c r="J15" s="59">
        <f t="shared" si="3"/>
        <v>-5.960684844641725</v>
      </c>
    </row>
    <row r="16" spans="1:10" ht="14.25">
      <c r="A16" s="20">
        <v>10</v>
      </c>
      <c r="B16" s="85" t="s">
        <v>170</v>
      </c>
      <c r="C16" s="59">
        <v>431.61</v>
      </c>
      <c r="D16" s="59">
        <v>322.39</v>
      </c>
      <c r="E16" s="59">
        <f t="shared" si="0"/>
        <v>-109.22000000000003</v>
      </c>
      <c r="F16" s="59">
        <f t="shared" si="1"/>
        <v>-25.30525242695953</v>
      </c>
      <c r="G16" s="59">
        <v>427.41</v>
      </c>
      <c r="H16" s="59">
        <v>329.72</v>
      </c>
      <c r="I16" s="59">
        <f t="shared" si="2"/>
        <v>-97.69</v>
      </c>
      <c r="J16" s="59">
        <f t="shared" si="3"/>
        <v>-22.85627383542734</v>
      </c>
    </row>
    <row r="17" spans="1:10" ht="14.25">
      <c r="A17" s="20">
        <v>11</v>
      </c>
      <c r="B17" s="85" t="s">
        <v>171</v>
      </c>
      <c r="C17" s="59">
        <v>172.99</v>
      </c>
      <c r="D17" s="59">
        <v>201.42</v>
      </c>
      <c r="E17" s="59">
        <f t="shared" si="0"/>
        <v>28.42999999999998</v>
      </c>
      <c r="F17" s="59">
        <f t="shared" si="1"/>
        <v>16.43447598127058</v>
      </c>
      <c r="G17" s="59">
        <v>173.02</v>
      </c>
      <c r="H17" s="59">
        <v>204.61</v>
      </c>
      <c r="I17" s="59">
        <f t="shared" si="2"/>
        <v>31.590000000000003</v>
      </c>
      <c r="J17" s="59">
        <f t="shared" si="3"/>
        <v>18.258004854930064</v>
      </c>
    </row>
    <row r="18" spans="1:10" ht="14.25">
      <c r="A18" s="20">
        <v>12</v>
      </c>
      <c r="B18" s="85" t="s">
        <v>172</v>
      </c>
      <c r="C18" s="59">
        <v>231.77</v>
      </c>
      <c r="D18" s="59">
        <v>155.51</v>
      </c>
      <c r="E18" s="59">
        <f t="shared" si="0"/>
        <v>-76.26000000000002</v>
      </c>
      <c r="F18" s="59">
        <f t="shared" si="1"/>
        <v>-32.90330931526946</v>
      </c>
      <c r="G18" s="59">
        <v>218.53</v>
      </c>
      <c r="H18" s="59">
        <v>154.57</v>
      </c>
      <c r="I18" s="59">
        <f t="shared" si="2"/>
        <v>-63.96000000000001</v>
      </c>
      <c r="J18" s="59">
        <f t="shared" si="3"/>
        <v>-29.268292682926834</v>
      </c>
    </row>
    <row r="19" spans="1:10" ht="14.25">
      <c r="A19" s="20">
        <v>13</v>
      </c>
      <c r="B19" s="85" t="s">
        <v>173</v>
      </c>
      <c r="C19" s="59">
        <v>299.02</v>
      </c>
      <c r="D19" s="59">
        <v>241.77</v>
      </c>
      <c r="E19" s="59">
        <f t="shared" si="0"/>
        <v>-57.24999999999997</v>
      </c>
      <c r="F19" s="59">
        <f t="shared" si="1"/>
        <v>-19.145876529997985</v>
      </c>
      <c r="G19" s="59">
        <v>278.18</v>
      </c>
      <c r="H19" s="59">
        <v>222.04</v>
      </c>
      <c r="I19" s="59">
        <f t="shared" si="2"/>
        <v>-56.140000000000015</v>
      </c>
      <c r="J19" s="59">
        <f t="shared" si="3"/>
        <v>-20.18117765475592</v>
      </c>
    </row>
    <row r="20" spans="1:10" ht="14.25">
      <c r="A20" s="20">
        <v>14</v>
      </c>
      <c r="B20" s="85" t="s">
        <v>174</v>
      </c>
      <c r="C20" s="59">
        <v>63.64</v>
      </c>
      <c r="D20" s="59">
        <v>52.75</v>
      </c>
      <c r="E20" s="59">
        <f t="shared" si="0"/>
        <v>-10.89</v>
      </c>
      <c r="F20" s="59">
        <f t="shared" si="1"/>
        <v>-17.111879321181647</v>
      </c>
      <c r="G20" s="59">
        <v>63</v>
      </c>
      <c r="H20" s="59">
        <v>54.85</v>
      </c>
      <c r="I20" s="59">
        <f t="shared" si="2"/>
        <v>-8.149999999999999</v>
      </c>
      <c r="J20" s="59">
        <f t="shared" si="3"/>
        <v>-12.936507936507935</v>
      </c>
    </row>
    <row r="21" spans="1:10" ht="14.25">
      <c r="A21" s="20">
        <v>15</v>
      </c>
      <c r="B21" s="85" t="s">
        <v>176</v>
      </c>
      <c r="C21" s="59">
        <v>83.39</v>
      </c>
      <c r="D21" s="59">
        <v>93.46</v>
      </c>
      <c r="E21" s="59">
        <f t="shared" si="0"/>
        <v>10.069999999999993</v>
      </c>
      <c r="F21" s="59">
        <f t="shared" si="1"/>
        <v>12.075788463844578</v>
      </c>
      <c r="G21" s="59">
        <v>67.14</v>
      </c>
      <c r="H21" s="59">
        <v>79.57</v>
      </c>
      <c r="I21" s="59">
        <f t="shared" si="2"/>
        <v>12.429999999999993</v>
      </c>
      <c r="J21" s="59">
        <f t="shared" si="3"/>
        <v>18.513553768245448</v>
      </c>
    </row>
    <row r="22" spans="1:10" ht="14.25">
      <c r="A22" s="20">
        <v>16</v>
      </c>
      <c r="B22" s="85" t="s">
        <v>177</v>
      </c>
      <c r="C22" s="59">
        <v>109.65</v>
      </c>
      <c r="D22" s="59">
        <v>119.95</v>
      </c>
      <c r="E22" s="59">
        <f t="shared" si="0"/>
        <v>10.299999999999997</v>
      </c>
      <c r="F22" s="59">
        <f t="shared" si="1"/>
        <v>9.393524851801182</v>
      </c>
      <c r="G22" s="59">
        <v>105.99</v>
      </c>
      <c r="H22" s="59">
        <v>113.94</v>
      </c>
      <c r="I22" s="59">
        <f t="shared" si="2"/>
        <v>7.950000000000003</v>
      </c>
      <c r="J22" s="59">
        <f t="shared" si="3"/>
        <v>7.5007076139258455</v>
      </c>
    </row>
    <row r="23" spans="1:10" ht="14.25">
      <c r="A23" s="20">
        <v>17</v>
      </c>
      <c r="B23" s="85" t="s">
        <v>178</v>
      </c>
      <c r="C23" s="59">
        <v>64.16</v>
      </c>
      <c r="D23" s="59">
        <v>90.43</v>
      </c>
      <c r="E23" s="59">
        <f t="shared" si="0"/>
        <v>26.27000000000001</v>
      </c>
      <c r="F23" s="59">
        <f t="shared" si="1"/>
        <v>40.94451371571074</v>
      </c>
      <c r="G23" s="59">
        <v>64.51</v>
      </c>
      <c r="H23" s="59">
        <v>90.7</v>
      </c>
      <c r="I23" s="59">
        <f t="shared" si="2"/>
        <v>26.189999999999998</v>
      </c>
      <c r="J23" s="59">
        <f t="shared" si="3"/>
        <v>40.59835684390016</v>
      </c>
    </row>
    <row r="24" spans="1:10" ht="14.25">
      <c r="A24" s="20">
        <v>18</v>
      </c>
      <c r="B24" s="85" t="s">
        <v>179</v>
      </c>
      <c r="C24" s="59">
        <v>89.71</v>
      </c>
      <c r="D24" s="59">
        <v>44.11</v>
      </c>
      <c r="E24" s="59">
        <f t="shared" si="0"/>
        <v>-45.599999999999994</v>
      </c>
      <c r="F24" s="59">
        <f t="shared" si="1"/>
        <v>-50.83045368409319</v>
      </c>
      <c r="G24" s="59">
        <v>48.05</v>
      </c>
      <c r="H24" s="59">
        <v>46.08</v>
      </c>
      <c r="I24" s="59">
        <f t="shared" si="2"/>
        <v>-1.9699999999999989</v>
      </c>
      <c r="J24" s="59">
        <f t="shared" si="3"/>
        <v>-4.0998959417273655</v>
      </c>
    </row>
    <row r="25" spans="1:10" ht="14.25">
      <c r="A25" s="20">
        <v>19</v>
      </c>
      <c r="B25" s="85" t="s">
        <v>180</v>
      </c>
      <c r="C25" s="59">
        <v>128.15</v>
      </c>
      <c r="D25" s="59">
        <v>122.19</v>
      </c>
      <c r="E25" s="59">
        <f t="shared" si="0"/>
        <v>-5.960000000000008</v>
      </c>
      <c r="F25" s="59">
        <f t="shared" si="1"/>
        <v>-4.650799843932897</v>
      </c>
      <c r="G25" s="59">
        <v>104.37</v>
      </c>
      <c r="H25" s="59">
        <v>94.86</v>
      </c>
      <c r="I25" s="59">
        <f t="shared" si="2"/>
        <v>-9.510000000000005</v>
      </c>
      <c r="J25" s="59">
        <f t="shared" si="3"/>
        <v>-9.111813739580343</v>
      </c>
    </row>
    <row r="26" spans="1:10" ht="14.25">
      <c r="A26" s="20">
        <v>20</v>
      </c>
      <c r="B26" s="85" t="s">
        <v>181</v>
      </c>
      <c r="C26" s="59">
        <v>132.03</v>
      </c>
      <c r="D26" s="59">
        <v>139.27</v>
      </c>
      <c r="E26" s="59">
        <f t="shared" si="0"/>
        <v>7.240000000000009</v>
      </c>
      <c r="F26" s="59">
        <f t="shared" si="1"/>
        <v>5.483602211618578</v>
      </c>
      <c r="G26" s="59">
        <v>87.12</v>
      </c>
      <c r="H26" s="59">
        <v>104.06</v>
      </c>
      <c r="I26" s="59">
        <f t="shared" si="2"/>
        <v>16.939999999999998</v>
      </c>
      <c r="J26" s="59">
        <f t="shared" si="3"/>
        <v>19.444444444444443</v>
      </c>
    </row>
    <row r="27" spans="1:10" ht="14.25">
      <c r="A27" s="20">
        <v>21</v>
      </c>
      <c r="B27" s="85" t="s">
        <v>183</v>
      </c>
      <c r="C27" s="59">
        <v>109.27</v>
      </c>
      <c r="D27" s="59">
        <v>99.61</v>
      </c>
      <c r="E27" s="59">
        <f t="shared" si="0"/>
        <v>-9.659999999999997</v>
      </c>
      <c r="F27" s="59">
        <f t="shared" si="1"/>
        <v>-8.840486867392695</v>
      </c>
      <c r="G27" s="59">
        <v>100.89</v>
      </c>
      <c r="H27" s="59">
        <v>103.37</v>
      </c>
      <c r="I27" s="59">
        <f t="shared" si="2"/>
        <v>2.480000000000004</v>
      </c>
      <c r="J27" s="59">
        <f t="shared" si="3"/>
        <v>2.4581227078996966</v>
      </c>
    </row>
    <row r="28" spans="1:10" ht="14.25">
      <c r="A28" s="20">
        <v>22</v>
      </c>
      <c r="B28" s="85" t="s">
        <v>184</v>
      </c>
      <c r="C28" s="59">
        <v>114.16</v>
      </c>
      <c r="D28" s="59">
        <v>127.91</v>
      </c>
      <c r="E28" s="59">
        <f t="shared" si="0"/>
        <v>13.75</v>
      </c>
      <c r="F28" s="59">
        <f t="shared" si="1"/>
        <v>12.044498948843728</v>
      </c>
      <c r="G28" s="59">
        <v>120.91</v>
      </c>
      <c r="H28" s="59">
        <v>137.84</v>
      </c>
      <c r="I28" s="59">
        <f t="shared" si="2"/>
        <v>16.930000000000007</v>
      </c>
      <c r="J28" s="59">
        <f t="shared" si="3"/>
        <v>14.002150359771736</v>
      </c>
    </row>
    <row r="29" spans="1:10" ht="14.25">
      <c r="A29" s="20">
        <v>23</v>
      </c>
      <c r="B29" s="85" t="s">
        <v>185</v>
      </c>
      <c r="C29" s="59">
        <v>323.19</v>
      </c>
      <c r="D29" s="59">
        <v>320.12</v>
      </c>
      <c r="E29" s="59">
        <f t="shared" si="0"/>
        <v>-3.069999999999993</v>
      </c>
      <c r="F29" s="59">
        <f t="shared" si="1"/>
        <v>-0.9499056282681992</v>
      </c>
      <c r="G29" s="59">
        <v>264.61</v>
      </c>
      <c r="H29" s="59">
        <v>306.03</v>
      </c>
      <c r="I29" s="59">
        <f t="shared" si="2"/>
        <v>41.41999999999996</v>
      </c>
      <c r="J29" s="59">
        <f t="shared" si="3"/>
        <v>15.653225501681703</v>
      </c>
    </row>
    <row r="30" spans="1:10" ht="14.25">
      <c r="A30" s="20">
        <v>24</v>
      </c>
      <c r="B30" s="85" t="s">
        <v>186</v>
      </c>
      <c r="C30" s="59">
        <v>206.92</v>
      </c>
      <c r="D30" s="59">
        <v>209.13</v>
      </c>
      <c r="E30" s="59">
        <f t="shared" si="0"/>
        <v>2.210000000000008</v>
      </c>
      <c r="F30" s="59">
        <f t="shared" si="1"/>
        <v>1.0680456214962342</v>
      </c>
      <c r="G30" s="59">
        <v>193.21</v>
      </c>
      <c r="H30" s="59">
        <v>200.15</v>
      </c>
      <c r="I30" s="59">
        <f t="shared" si="2"/>
        <v>6.939999999999998</v>
      </c>
      <c r="J30" s="59">
        <f t="shared" si="3"/>
        <v>3.5919465866155984</v>
      </c>
    </row>
    <row r="31" spans="1:10" ht="14.25">
      <c r="A31" s="20">
        <v>25</v>
      </c>
      <c r="B31" s="85" t="s">
        <v>187</v>
      </c>
      <c r="C31" s="59">
        <v>120.48</v>
      </c>
      <c r="D31" s="59">
        <v>126.21</v>
      </c>
      <c r="E31" s="59">
        <f t="shared" si="0"/>
        <v>5.72999999999999</v>
      </c>
      <c r="F31" s="59">
        <f t="shared" si="1"/>
        <v>4.755976095617521</v>
      </c>
      <c r="G31" s="59">
        <v>124.07</v>
      </c>
      <c r="H31" s="59">
        <v>131.44</v>
      </c>
      <c r="I31" s="59">
        <f t="shared" si="2"/>
        <v>7.3700000000000045</v>
      </c>
      <c r="J31" s="59">
        <f t="shared" si="3"/>
        <v>5.940195051180789</v>
      </c>
    </row>
    <row r="32" spans="1:10" ht="14.25">
      <c r="A32" s="20">
        <v>26</v>
      </c>
      <c r="B32" s="85" t="s">
        <v>189</v>
      </c>
      <c r="C32" s="59">
        <v>132.05</v>
      </c>
      <c r="D32" s="59">
        <v>139.05</v>
      </c>
      <c r="E32" s="59">
        <f t="shared" si="0"/>
        <v>7</v>
      </c>
      <c r="F32" s="59">
        <f t="shared" si="1"/>
        <v>5.301022340022718</v>
      </c>
      <c r="G32" s="59">
        <v>124.67</v>
      </c>
      <c r="H32" s="59">
        <v>138.79</v>
      </c>
      <c r="I32" s="59">
        <f t="shared" si="2"/>
        <v>14.11999999999999</v>
      </c>
      <c r="J32" s="59">
        <f t="shared" si="3"/>
        <v>11.32590037699526</v>
      </c>
    </row>
    <row r="33" spans="1:10" ht="14.25">
      <c r="A33" s="20">
        <v>27</v>
      </c>
      <c r="B33" s="85" t="s">
        <v>190</v>
      </c>
      <c r="C33" s="59">
        <v>88.48</v>
      </c>
      <c r="D33" s="59">
        <v>143.37</v>
      </c>
      <c r="E33" s="59">
        <f t="shared" si="0"/>
        <v>54.89</v>
      </c>
      <c r="F33" s="59">
        <f t="shared" si="1"/>
        <v>62.03661844484629</v>
      </c>
      <c r="G33" s="59">
        <v>86.47</v>
      </c>
      <c r="H33" s="59">
        <v>137.54</v>
      </c>
      <c r="I33" s="59">
        <f t="shared" si="2"/>
        <v>51.06999999999999</v>
      </c>
      <c r="J33" s="59">
        <f t="shared" si="3"/>
        <v>59.06094599282987</v>
      </c>
    </row>
    <row r="34" spans="1:10" ht="14.25">
      <c r="A34" s="20">
        <v>28</v>
      </c>
      <c r="B34" s="85" t="s">
        <v>191</v>
      </c>
      <c r="C34" s="59">
        <v>100.81</v>
      </c>
      <c r="D34" s="59">
        <v>95.33</v>
      </c>
      <c r="E34" s="59">
        <f t="shared" si="0"/>
        <v>-5.480000000000004</v>
      </c>
      <c r="F34" s="59">
        <f t="shared" si="1"/>
        <v>-5.4359686539033865</v>
      </c>
      <c r="G34" s="59">
        <v>56.11</v>
      </c>
      <c r="H34" s="59">
        <v>99.1</v>
      </c>
      <c r="I34" s="59">
        <f t="shared" si="2"/>
        <v>42.989999999999995</v>
      </c>
      <c r="J34" s="59">
        <f t="shared" si="3"/>
        <v>76.61735875957939</v>
      </c>
    </row>
    <row r="35" spans="1:10" ht="14.25">
      <c r="A35" s="20">
        <v>29</v>
      </c>
      <c r="B35" s="85" t="s">
        <v>192</v>
      </c>
      <c r="C35" s="59">
        <v>129.79</v>
      </c>
      <c r="D35" s="59">
        <v>391.06</v>
      </c>
      <c r="E35" s="59">
        <f t="shared" si="0"/>
        <v>261.27</v>
      </c>
      <c r="F35" s="59">
        <f t="shared" si="1"/>
        <v>201.30210339779643</v>
      </c>
      <c r="G35" s="59">
        <v>122.88</v>
      </c>
      <c r="H35" s="59">
        <v>112.76</v>
      </c>
      <c r="I35" s="59">
        <f t="shared" si="2"/>
        <v>-10.11999999999999</v>
      </c>
      <c r="J35" s="59">
        <f t="shared" si="3"/>
        <v>-8.235677083333325</v>
      </c>
    </row>
    <row r="36" spans="1:10" ht="14.25">
      <c r="A36" s="20">
        <v>30</v>
      </c>
      <c r="B36" s="85" t="s">
        <v>194</v>
      </c>
      <c r="C36" s="59">
        <v>104.98</v>
      </c>
      <c r="D36" s="59">
        <v>111.2</v>
      </c>
      <c r="E36" s="59">
        <f t="shared" si="0"/>
        <v>6.219999999999999</v>
      </c>
      <c r="F36" s="59">
        <f t="shared" si="1"/>
        <v>5.924938083444465</v>
      </c>
      <c r="G36" s="59">
        <v>102.36</v>
      </c>
      <c r="H36" s="59">
        <v>108.63</v>
      </c>
      <c r="I36" s="59">
        <f t="shared" si="2"/>
        <v>6.269999999999996</v>
      </c>
      <c r="J36" s="59">
        <f t="shared" si="3"/>
        <v>6.125439624853454</v>
      </c>
    </row>
    <row r="37" spans="1:10" ht="14.25">
      <c r="A37" s="20">
        <v>31</v>
      </c>
      <c r="B37" s="85" t="s">
        <v>195</v>
      </c>
      <c r="C37" s="59">
        <v>287.29</v>
      </c>
      <c r="D37" s="59">
        <v>248.58</v>
      </c>
      <c r="E37" s="59">
        <f t="shared" si="0"/>
        <v>-38.71000000000001</v>
      </c>
      <c r="F37" s="59">
        <f t="shared" si="1"/>
        <v>-13.474189843015768</v>
      </c>
      <c r="G37" s="59">
        <v>290.22</v>
      </c>
      <c r="H37" s="59">
        <v>240.6</v>
      </c>
      <c r="I37" s="59">
        <f t="shared" si="2"/>
        <v>-49.62000000000003</v>
      </c>
      <c r="J37" s="59">
        <f t="shared" si="3"/>
        <v>-17.09737440562333</v>
      </c>
    </row>
    <row r="38" spans="1:10" ht="14.25">
      <c r="A38" s="20">
        <v>32</v>
      </c>
      <c r="B38" s="85" t="s">
        <v>196</v>
      </c>
      <c r="C38" s="59">
        <v>251.5</v>
      </c>
      <c r="D38" s="59">
        <v>209.32</v>
      </c>
      <c r="E38" s="59">
        <f t="shared" si="0"/>
        <v>-42.18000000000001</v>
      </c>
      <c r="F38" s="59">
        <f t="shared" si="1"/>
        <v>-16.7713717693837</v>
      </c>
      <c r="G38" s="59">
        <v>242.56</v>
      </c>
      <c r="H38" s="59">
        <v>204.35</v>
      </c>
      <c r="I38" s="59">
        <f t="shared" si="2"/>
        <v>-38.21000000000001</v>
      </c>
      <c r="J38" s="59">
        <f t="shared" si="3"/>
        <v>-15.75280343007916</v>
      </c>
    </row>
    <row r="39" spans="1:10" ht="14.25">
      <c r="A39" s="20">
        <v>33</v>
      </c>
      <c r="B39" s="85" t="s">
        <v>197</v>
      </c>
      <c r="C39" s="59">
        <v>270.01</v>
      </c>
      <c r="D39" s="59">
        <v>267.85</v>
      </c>
      <c r="E39" s="59">
        <f t="shared" si="0"/>
        <v>-2.159999999999968</v>
      </c>
      <c r="F39" s="59">
        <f t="shared" si="1"/>
        <v>-0.7999703714677117</v>
      </c>
      <c r="G39" s="59">
        <v>270.71</v>
      </c>
      <c r="H39" s="59">
        <v>271.18</v>
      </c>
      <c r="I39" s="59">
        <f t="shared" si="2"/>
        <v>0.4700000000000273</v>
      </c>
      <c r="J39" s="59">
        <f t="shared" si="3"/>
        <v>0.17361752428799354</v>
      </c>
    </row>
    <row r="40" spans="1:10" ht="14.25">
      <c r="A40" s="20">
        <v>34</v>
      </c>
      <c r="B40" s="85" t="s">
        <v>198</v>
      </c>
      <c r="C40" s="59">
        <v>942.71</v>
      </c>
      <c r="D40" s="59">
        <v>1063.02</v>
      </c>
      <c r="E40" s="59">
        <f t="shared" si="0"/>
        <v>120.30999999999995</v>
      </c>
      <c r="F40" s="59">
        <f t="shared" si="1"/>
        <v>12.762143182951272</v>
      </c>
      <c r="G40" s="59">
        <v>873.17</v>
      </c>
      <c r="H40" s="59">
        <v>977.83</v>
      </c>
      <c r="I40" s="59">
        <f t="shared" si="2"/>
        <v>104.66000000000008</v>
      </c>
      <c r="J40" s="59">
        <f t="shared" si="3"/>
        <v>11.986211161629475</v>
      </c>
    </row>
    <row r="41" spans="1:10" ht="14.25">
      <c r="A41" s="20">
        <v>35</v>
      </c>
      <c r="B41" s="85" t="s">
        <v>199</v>
      </c>
      <c r="C41" s="59">
        <v>645.86</v>
      </c>
      <c r="D41" s="59">
        <v>522.43</v>
      </c>
      <c r="E41" s="59">
        <f t="shared" si="0"/>
        <v>-123.43000000000006</v>
      </c>
      <c r="F41" s="59">
        <f t="shared" si="1"/>
        <v>-19.110952838076372</v>
      </c>
      <c r="G41" s="59">
        <v>627.53</v>
      </c>
      <c r="H41" s="59">
        <v>469.46</v>
      </c>
      <c r="I41" s="59">
        <f t="shared" si="2"/>
        <v>-158.07</v>
      </c>
      <c r="J41" s="59">
        <f t="shared" si="3"/>
        <v>-25.189233980845536</v>
      </c>
    </row>
    <row r="42" spans="1:10" ht="14.25">
      <c r="A42" s="20">
        <v>36</v>
      </c>
      <c r="B42" s="85" t="s">
        <v>200</v>
      </c>
      <c r="C42" s="59">
        <v>134.28</v>
      </c>
      <c r="D42" s="59">
        <v>130.78</v>
      </c>
      <c r="E42" s="59">
        <f t="shared" si="0"/>
        <v>-3.5</v>
      </c>
      <c r="F42" s="59">
        <f t="shared" si="1"/>
        <v>-2.6064938933571637</v>
      </c>
      <c r="G42" s="59">
        <v>123.27</v>
      </c>
      <c r="H42" s="59">
        <v>125.37</v>
      </c>
      <c r="I42" s="59">
        <f t="shared" si="2"/>
        <v>2.1000000000000085</v>
      </c>
      <c r="J42" s="59">
        <f t="shared" si="3"/>
        <v>1.7035775127768382</v>
      </c>
    </row>
    <row r="43" spans="1:10" ht="14.25">
      <c r="A43" s="20">
        <v>37</v>
      </c>
      <c r="B43" s="85" t="s">
        <v>202</v>
      </c>
      <c r="C43" s="59">
        <v>110.18</v>
      </c>
      <c r="D43" s="59">
        <v>115.32</v>
      </c>
      <c r="E43" s="59">
        <f t="shared" si="0"/>
        <v>5.139999999999986</v>
      </c>
      <c r="F43" s="59">
        <f t="shared" si="1"/>
        <v>4.665093483390803</v>
      </c>
      <c r="G43" s="59">
        <v>109.56</v>
      </c>
      <c r="H43" s="59">
        <v>114.2</v>
      </c>
      <c r="I43" s="59">
        <f t="shared" si="2"/>
        <v>4.640000000000001</v>
      </c>
      <c r="J43" s="59">
        <f t="shared" si="3"/>
        <v>4.235122307411465</v>
      </c>
    </row>
    <row r="44" spans="1:10" ht="14.25">
      <c r="A44" s="20">
        <v>38</v>
      </c>
      <c r="B44" s="85" t="s">
        <v>203</v>
      </c>
      <c r="C44" s="59">
        <v>321.65</v>
      </c>
      <c r="D44" s="59">
        <v>400.59</v>
      </c>
      <c r="E44" s="59">
        <f t="shared" si="0"/>
        <v>78.94</v>
      </c>
      <c r="F44" s="59">
        <f t="shared" si="1"/>
        <v>24.54220425928805</v>
      </c>
      <c r="G44" s="59">
        <v>319.44</v>
      </c>
      <c r="H44" s="59">
        <v>395.49</v>
      </c>
      <c r="I44" s="59">
        <f t="shared" si="2"/>
        <v>76.05000000000001</v>
      </c>
      <c r="J44" s="59">
        <f t="shared" si="3"/>
        <v>23.807287753568747</v>
      </c>
    </row>
    <row r="45" spans="1:10" ht="14.25">
      <c r="A45" s="24">
        <v>39</v>
      </c>
      <c r="B45" s="3" t="s">
        <v>204</v>
      </c>
      <c r="C45" s="59">
        <v>526.42</v>
      </c>
      <c r="D45" s="59">
        <v>750.46</v>
      </c>
      <c r="E45" s="59">
        <f t="shared" si="0"/>
        <v>224.04000000000008</v>
      </c>
      <c r="F45" s="59">
        <f t="shared" si="1"/>
        <v>42.55917328368985</v>
      </c>
      <c r="G45" s="59">
        <v>512.7</v>
      </c>
      <c r="H45" s="59">
        <v>743.71</v>
      </c>
      <c r="I45" s="59">
        <f t="shared" si="2"/>
        <v>231.01</v>
      </c>
      <c r="J45" s="59">
        <f t="shared" si="3"/>
        <v>45.05753852155256</v>
      </c>
    </row>
    <row r="46" spans="1:10" ht="14.25">
      <c r="A46" s="20">
        <v>40</v>
      </c>
      <c r="B46" s="85" t="s">
        <v>205</v>
      </c>
      <c r="C46" s="59">
        <v>168.69</v>
      </c>
      <c r="D46" s="59">
        <v>316.81</v>
      </c>
      <c r="E46" s="59">
        <f t="shared" si="0"/>
        <v>148.12</v>
      </c>
      <c r="F46" s="59">
        <f t="shared" si="1"/>
        <v>87.80603473827732</v>
      </c>
      <c r="G46" s="59">
        <v>176.41</v>
      </c>
      <c r="H46" s="59">
        <v>312.86</v>
      </c>
      <c r="I46" s="59">
        <f t="shared" si="2"/>
        <v>136.45000000000002</v>
      </c>
      <c r="J46" s="59">
        <f t="shared" si="3"/>
        <v>77.34822288985886</v>
      </c>
    </row>
    <row r="47" spans="1:10" ht="14.25">
      <c r="A47" s="20">
        <v>41</v>
      </c>
      <c r="B47" s="85" t="s">
        <v>206</v>
      </c>
      <c r="C47" s="59">
        <v>500.27</v>
      </c>
      <c r="D47" s="59">
        <v>397.23</v>
      </c>
      <c r="E47" s="59">
        <f t="shared" si="0"/>
        <v>-103.03999999999996</v>
      </c>
      <c r="F47" s="59">
        <f t="shared" si="1"/>
        <v>-20.596877686049528</v>
      </c>
      <c r="G47" s="59">
        <v>498.28</v>
      </c>
      <c r="H47" s="59">
        <v>395.28</v>
      </c>
      <c r="I47" s="59">
        <f t="shared" si="2"/>
        <v>-103</v>
      </c>
      <c r="J47" s="59">
        <f t="shared" si="3"/>
        <v>-20.671108613630892</v>
      </c>
    </row>
    <row r="48" spans="1:10" ht="14.25">
      <c r="A48" s="20">
        <v>42</v>
      </c>
      <c r="B48" s="85" t="s">
        <v>208</v>
      </c>
      <c r="C48" s="59">
        <v>126.59</v>
      </c>
      <c r="D48" s="59">
        <v>183</v>
      </c>
      <c r="E48" s="59">
        <f t="shared" si="0"/>
        <v>56.41</v>
      </c>
      <c r="F48" s="59">
        <f t="shared" si="1"/>
        <v>44.56118176791215</v>
      </c>
      <c r="G48" s="59">
        <v>109.58</v>
      </c>
      <c r="H48" s="59">
        <v>176.28</v>
      </c>
      <c r="I48" s="59">
        <f t="shared" si="2"/>
        <v>66.7</v>
      </c>
      <c r="J48" s="59">
        <f t="shared" si="3"/>
        <v>60.86877167366308</v>
      </c>
    </row>
    <row r="49" spans="1:10" ht="14.25">
      <c r="A49" s="20">
        <v>43</v>
      </c>
      <c r="B49" s="85" t="s">
        <v>209</v>
      </c>
      <c r="C49" s="59">
        <v>101.44</v>
      </c>
      <c r="D49" s="59">
        <v>107.92</v>
      </c>
      <c r="E49" s="59">
        <f t="shared" si="0"/>
        <v>6.480000000000004</v>
      </c>
      <c r="F49" s="59">
        <f t="shared" si="1"/>
        <v>6.388012618296535</v>
      </c>
      <c r="G49" s="59">
        <v>104.39</v>
      </c>
      <c r="H49" s="59">
        <v>112.77</v>
      </c>
      <c r="I49" s="59">
        <f t="shared" si="2"/>
        <v>8.379999999999995</v>
      </c>
      <c r="J49" s="59">
        <f t="shared" si="3"/>
        <v>8.027588849506653</v>
      </c>
    </row>
    <row r="50" spans="1:10" ht="14.25">
      <c r="A50" s="20">
        <v>44</v>
      </c>
      <c r="B50" s="85" t="s">
        <v>210</v>
      </c>
      <c r="C50" s="59">
        <v>239.55</v>
      </c>
      <c r="D50" s="59">
        <v>178.45</v>
      </c>
      <c r="E50" s="59">
        <f t="shared" si="0"/>
        <v>-61.10000000000002</v>
      </c>
      <c r="F50" s="59">
        <f t="shared" si="1"/>
        <v>-25.506157378417875</v>
      </c>
      <c r="G50" s="59">
        <v>206.28</v>
      </c>
      <c r="H50" s="59">
        <v>173.67</v>
      </c>
      <c r="I50" s="59">
        <f t="shared" si="2"/>
        <v>-32.610000000000014</v>
      </c>
      <c r="J50" s="59">
        <f t="shared" si="3"/>
        <v>-15.808609656777204</v>
      </c>
    </row>
    <row r="51" spans="1:10" ht="14.25">
      <c r="A51" s="20">
        <v>45</v>
      </c>
      <c r="B51" s="85" t="s">
        <v>211</v>
      </c>
      <c r="C51" s="59">
        <v>315.83</v>
      </c>
      <c r="D51" s="59">
        <v>284.14</v>
      </c>
      <c r="E51" s="59">
        <f t="shared" si="0"/>
        <v>-31.689999999999998</v>
      </c>
      <c r="F51" s="59">
        <f t="shared" si="1"/>
        <v>-10.03387898553019</v>
      </c>
      <c r="G51" s="59">
        <v>316.43</v>
      </c>
      <c r="H51" s="59">
        <v>295.75</v>
      </c>
      <c r="I51" s="59">
        <f t="shared" si="2"/>
        <v>-20.680000000000007</v>
      </c>
      <c r="J51" s="59">
        <f t="shared" si="3"/>
        <v>-6.53541067534684</v>
      </c>
    </row>
    <row r="52" spans="1:10" ht="14.25">
      <c r="A52" s="20">
        <v>46</v>
      </c>
      <c r="B52" s="85" t="s">
        <v>212</v>
      </c>
      <c r="C52" s="59">
        <v>96.16</v>
      </c>
      <c r="D52" s="59">
        <v>100.97</v>
      </c>
      <c r="E52" s="59">
        <f t="shared" si="0"/>
        <v>4.810000000000002</v>
      </c>
      <c r="F52" s="59">
        <f t="shared" si="1"/>
        <v>5.002079866888522</v>
      </c>
      <c r="G52" s="59">
        <v>102.29</v>
      </c>
      <c r="H52" s="59">
        <v>110.89</v>
      </c>
      <c r="I52" s="59">
        <f t="shared" si="2"/>
        <v>8.599999999999994</v>
      </c>
      <c r="J52" s="59">
        <f t="shared" si="3"/>
        <v>8.407468960797726</v>
      </c>
    </row>
    <row r="53" spans="1:10" ht="14.25">
      <c r="A53" s="20">
        <v>47</v>
      </c>
      <c r="B53" s="85" t="s">
        <v>214</v>
      </c>
      <c r="C53" s="59">
        <v>176.2</v>
      </c>
      <c r="D53" s="59">
        <v>224.12</v>
      </c>
      <c r="E53" s="59">
        <f t="shared" si="0"/>
        <v>47.920000000000016</v>
      </c>
      <c r="F53" s="59">
        <f t="shared" si="1"/>
        <v>27.196367763904668</v>
      </c>
      <c r="G53" s="59">
        <v>182.45</v>
      </c>
      <c r="H53" s="59">
        <v>230.44</v>
      </c>
      <c r="I53" s="59">
        <f t="shared" si="2"/>
        <v>47.99000000000001</v>
      </c>
      <c r="J53" s="59">
        <f t="shared" si="3"/>
        <v>26.303096738832565</v>
      </c>
    </row>
    <row r="54" spans="1:10" ht="14.25">
      <c r="A54" s="20">
        <v>48</v>
      </c>
      <c r="B54" s="85" t="s">
        <v>215</v>
      </c>
      <c r="C54" s="59">
        <v>343.38</v>
      </c>
      <c r="D54" s="59">
        <v>416.22</v>
      </c>
      <c r="E54" s="59">
        <f t="shared" si="0"/>
        <v>72.84000000000003</v>
      </c>
      <c r="F54" s="59">
        <f t="shared" si="1"/>
        <v>21.21265070767081</v>
      </c>
      <c r="G54" s="59">
        <v>342.95</v>
      </c>
      <c r="H54" s="59">
        <v>424.45</v>
      </c>
      <c r="I54" s="59">
        <f t="shared" si="2"/>
        <v>81.5</v>
      </c>
      <c r="J54" s="59">
        <f t="shared" si="3"/>
        <v>23.76439714244059</v>
      </c>
    </row>
    <row r="55" spans="1:10" ht="14.25">
      <c r="A55" s="20">
        <v>49</v>
      </c>
      <c r="B55" s="85" t="s">
        <v>216</v>
      </c>
      <c r="C55" s="59">
        <v>286.73</v>
      </c>
      <c r="D55" s="59">
        <v>288.95</v>
      </c>
      <c r="E55" s="59">
        <f t="shared" si="0"/>
        <v>2.2199999999999704</v>
      </c>
      <c r="F55" s="59">
        <f t="shared" si="1"/>
        <v>0.7742475499598822</v>
      </c>
      <c r="G55" s="59">
        <v>289.56</v>
      </c>
      <c r="H55" s="59">
        <v>292.15</v>
      </c>
      <c r="I55" s="59">
        <f t="shared" si="2"/>
        <v>2.589999999999975</v>
      </c>
      <c r="J55" s="59">
        <f t="shared" si="3"/>
        <v>0.8944605608509376</v>
      </c>
    </row>
    <row r="56" spans="1:10" ht="14.25">
      <c r="A56" s="20">
        <v>50</v>
      </c>
      <c r="B56" s="85" t="s">
        <v>217</v>
      </c>
      <c r="C56" s="59">
        <v>206.03</v>
      </c>
      <c r="D56" s="59">
        <v>264.45</v>
      </c>
      <c r="E56" s="59">
        <f t="shared" si="0"/>
        <v>58.41999999999999</v>
      </c>
      <c r="F56" s="59">
        <f t="shared" si="1"/>
        <v>28.355093918361398</v>
      </c>
      <c r="G56" s="59">
        <v>214.82</v>
      </c>
      <c r="H56" s="59">
        <v>275.97</v>
      </c>
      <c r="I56" s="59">
        <f t="shared" si="2"/>
        <v>61.150000000000034</v>
      </c>
      <c r="J56" s="59">
        <f t="shared" si="3"/>
        <v>28.465692207429495</v>
      </c>
    </row>
    <row r="57" spans="1:10" ht="14.25">
      <c r="A57" s="20">
        <v>51</v>
      </c>
      <c r="B57" s="85" t="s">
        <v>218</v>
      </c>
      <c r="C57" s="59">
        <v>669.11</v>
      </c>
      <c r="D57" s="59">
        <v>707.51</v>
      </c>
      <c r="E57" s="59">
        <f t="shared" si="0"/>
        <v>38.39999999999998</v>
      </c>
      <c r="F57" s="59">
        <f t="shared" si="1"/>
        <v>5.738966687091805</v>
      </c>
      <c r="G57" s="59">
        <v>683.17</v>
      </c>
      <c r="H57" s="59">
        <v>724.63</v>
      </c>
      <c r="I57" s="59">
        <f t="shared" si="2"/>
        <v>41.460000000000036</v>
      </c>
      <c r="J57" s="59">
        <f t="shared" si="3"/>
        <v>6.068767656659403</v>
      </c>
    </row>
    <row r="58" spans="1:10" ht="14.25">
      <c r="A58" s="20">
        <v>52</v>
      </c>
      <c r="B58" s="85" t="s">
        <v>219</v>
      </c>
      <c r="C58" s="59">
        <v>222.55</v>
      </c>
      <c r="D58" s="59">
        <v>235.79</v>
      </c>
      <c r="E58" s="59">
        <f t="shared" si="0"/>
        <v>13.23999999999998</v>
      </c>
      <c r="F58" s="59">
        <f t="shared" si="1"/>
        <v>5.949224893282399</v>
      </c>
      <c r="G58" s="59">
        <v>236.2</v>
      </c>
      <c r="H58" s="59">
        <v>252.19</v>
      </c>
      <c r="I58" s="59">
        <f t="shared" si="2"/>
        <v>15.990000000000009</v>
      </c>
      <c r="J58" s="59">
        <f t="shared" si="3"/>
        <v>6.769686706181206</v>
      </c>
    </row>
    <row r="59" spans="1:10" ht="14.25">
      <c r="A59" s="20">
        <v>53</v>
      </c>
      <c r="B59" s="85" t="s">
        <v>221</v>
      </c>
      <c r="C59" s="59">
        <v>594.81</v>
      </c>
      <c r="D59" s="59">
        <v>617.88</v>
      </c>
      <c r="E59" s="59">
        <f t="shared" si="0"/>
        <v>23.07000000000005</v>
      </c>
      <c r="F59" s="59">
        <f t="shared" si="1"/>
        <v>3.878549452766438</v>
      </c>
      <c r="G59" s="59">
        <v>566.62</v>
      </c>
      <c r="H59" s="59">
        <v>610.32</v>
      </c>
      <c r="I59" s="59">
        <f t="shared" si="2"/>
        <v>43.700000000000045</v>
      </c>
      <c r="J59" s="59">
        <f t="shared" si="3"/>
        <v>7.712399844693101</v>
      </c>
    </row>
    <row r="60" spans="1:10" ht="14.25">
      <c r="A60" s="20">
        <v>54</v>
      </c>
      <c r="B60" s="85" t="s">
        <v>222</v>
      </c>
      <c r="C60" s="59">
        <v>230.85</v>
      </c>
      <c r="D60" s="59">
        <v>255.54</v>
      </c>
      <c r="E60" s="59">
        <f t="shared" si="0"/>
        <v>24.689999999999998</v>
      </c>
      <c r="F60" s="59">
        <f t="shared" si="1"/>
        <v>10.69525666016894</v>
      </c>
      <c r="G60" s="59">
        <v>195.23</v>
      </c>
      <c r="H60" s="59">
        <v>251.04</v>
      </c>
      <c r="I60" s="59">
        <f t="shared" si="2"/>
        <v>55.81</v>
      </c>
      <c r="J60" s="59">
        <f t="shared" si="3"/>
        <v>28.586795062234287</v>
      </c>
    </row>
    <row r="61" spans="1:10" ht="14.25">
      <c r="A61" s="20">
        <v>55</v>
      </c>
      <c r="B61" s="85" t="s">
        <v>223</v>
      </c>
      <c r="C61" s="59">
        <v>261.13</v>
      </c>
      <c r="D61" s="59">
        <v>239.57</v>
      </c>
      <c r="E61" s="59">
        <f t="shared" si="0"/>
        <v>-21.560000000000002</v>
      </c>
      <c r="F61" s="59">
        <f t="shared" si="1"/>
        <v>-8.25642400336997</v>
      </c>
      <c r="G61" s="59">
        <v>234.32</v>
      </c>
      <c r="H61" s="59">
        <v>243.46</v>
      </c>
      <c r="I61" s="59">
        <f t="shared" si="2"/>
        <v>9.140000000000015</v>
      </c>
      <c r="J61" s="59">
        <f t="shared" si="3"/>
        <v>3.9006486855582176</v>
      </c>
    </row>
    <row r="62" spans="1:10" ht="14.25">
      <c r="A62" s="20">
        <v>56</v>
      </c>
      <c r="B62" s="85" t="s">
        <v>225</v>
      </c>
      <c r="C62" s="59">
        <v>125.79</v>
      </c>
      <c r="D62" s="59">
        <v>119.93</v>
      </c>
      <c r="E62" s="59">
        <f t="shared" si="0"/>
        <v>-5.859999999999999</v>
      </c>
      <c r="F62" s="59">
        <f t="shared" si="1"/>
        <v>-4.658557913983623</v>
      </c>
      <c r="G62" s="59">
        <v>114.29</v>
      </c>
      <c r="H62" s="59">
        <v>128.36</v>
      </c>
      <c r="I62" s="59">
        <f t="shared" si="2"/>
        <v>14.070000000000007</v>
      </c>
      <c r="J62" s="59">
        <f t="shared" si="3"/>
        <v>12.310788345437052</v>
      </c>
    </row>
    <row r="63" spans="1:10" ht="14.25">
      <c r="A63" s="20">
        <v>57</v>
      </c>
      <c r="B63" s="85" t="s">
        <v>226</v>
      </c>
      <c r="C63" s="59">
        <v>102.98</v>
      </c>
      <c r="D63" s="59">
        <v>108.93</v>
      </c>
      <c r="E63" s="59">
        <f t="shared" si="0"/>
        <v>5.950000000000003</v>
      </c>
      <c r="F63" s="59">
        <f t="shared" si="1"/>
        <v>5.777820936104101</v>
      </c>
      <c r="G63" s="59">
        <v>96.27</v>
      </c>
      <c r="H63" s="59">
        <v>113.05</v>
      </c>
      <c r="I63" s="59">
        <f t="shared" si="2"/>
        <v>16.78</v>
      </c>
      <c r="J63" s="59">
        <f t="shared" si="3"/>
        <v>17.43014438558222</v>
      </c>
    </row>
    <row r="64" spans="1:10" ht="14.25">
      <c r="A64" s="20">
        <v>58</v>
      </c>
      <c r="B64" s="85" t="s">
        <v>227</v>
      </c>
      <c r="C64" s="59">
        <v>101.51</v>
      </c>
      <c r="D64" s="59">
        <v>97.3</v>
      </c>
      <c r="E64" s="59">
        <f t="shared" si="0"/>
        <v>-4.210000000000008</v>
      </c>
      <c r="F64" s="59">
        <f t="shared" si="1"/>
        <v>-4.147374642892333</v>
      </c>
      <c r="G64" s="59">
        <v>106.55</v>
      </c>
      <c r="H64" s="59">
        <v>103.5</v>
      </c>
      <c r="I64" s="59">
        <f t="shared" si="2"/>
        <v>-3.049999999999997</v>
      </c>
      <c r="J64" s="59">
        <f t="shared" si="3"/>
        <v>-2.862505865790706</v>
      </c>
    </row>
    <row r="65" spans="1:10" ht="14.25">
      <c r="A65" s="20">
        <v>59</v>
      </c>
      <c r="B65" s="85" t="s">
        <v>229</v>
      </c>
      <c r="C65" s="59">
        <v>318.17</v>
      </c>
      <c r="D65" s="59">
        <v>248.88</v>
      </c>
      <c r="E65" s="59">
        <f t="shared" si="0"/>
        <v>-69.29000000000002</v>
      </c>
      <c r="F65" s="59">
        <f t="shared" si="1"/>
        <v>-21.777666027595316</v>
      </c>
      <c r="G65" s="59">
        <v>311.8</v>
      </c>
      <c r="H65" s="59">
        <v>255.35</v>
      </c>
      <c r="I65" s="59">
        <f t="shared" si="2"/>
        <v>-56.45000000000002</v>
      </c>
      <c r="J65" s="59">
        <f t="shared" si="3"/>
        <v>-18.104554201411165</v>
      </c>
    </row>
    <row r="66" spans="1:10" ht="14.25">
      <c r="A66" s="20">
        <v>60</v>
      </c>
      <c r="B66" s="85" t="s">
        <v>230</v>
      </c>
      <c r="C66" s="59">
        <v>508.3</v>
      </c>
      <c r="D66" s="59">
        <v>260.78</v>
      </c>
      <c r="E66" s="59">
        <f t="shared" si="0"/>
        <v>-247.52000000000004</v>
      </c>
      <c r="F66" s="59">
        <f t="shared" si="1"/>
        <v>-48.695652173913054</v>
      </c>
      <c r="G66" s="59">
        <v>503.19</v>
      </c>
      <c r="H66" s="59">
        <v>261.72</v>
      </c>
      <c r="I66" s="59">
        <f t="shared" si="2"/>
        <v>-241.46999999999997</v>
      </c>
      <c r="J66" s="59">
        <f t="shared" si="3"/>
        <v>-47.98783759613664</v>
      </c>
    </row>
    <row r="67" spans="1:10" ht="14.25">
      <c r="A67" s="20">
        <v>61</v>
      </c>
      <c r="B67" s="85" t="s">
        <v>231</v>
      </c>
      <c r="C67" s="59">
        <v>486.33</v>
      </c>
      <c r="D67" s="59">
        <v>364.24</v>
      </c>
      <c r="E67" s="59">
        <f t="shared" si="0"/>
        <v>-122.08999999999997</v>
      </c>
      <c r="F67" s="59">
        <f t="shared" si="1"/>
        <v>-25.10435301132975</v>
      </c>
      <c r="G67" s="59">
        <v>474.37</v>
      </c>
      <c r="H67" s="59">
        <v>352.87</v>
      </c>
      <c r="I67" s="59">
        <f>H67-G67</f>
        <v>-121.5</v>
      </c>
      <c r="J67" s="59">
        <f>I67/G67*100</f>
        <v>-25.61291818622594</v>
      </c>
    </row>
    <row r="68" spans="1:10" ht="14.25">
      <c r="A68" s="20">
        <v>62</v>
      </c>
      <c r="B68" s="85" t="s">
        <v>233</v>
      </c>
      <c r="C68" s="59">
        <v>271.91</v>
      </c>
      <c r="D68" s="59">
        <v>292.68</v>
      </c>
      <c r="E68" s="59">
        <f t="shared" si="0"/>
        <v>20.769999999999982</v>
      </c>
      <c r="F68" s="59">
        <f t="shared" si="1"/>
        <v>7.638556875436718</v>
      </c>
      <c r="G68" s="59">
        <v>286.82</v>
      </c>
      <c r="H68" s="59">
        <v>316.73</v>
      </c>
      <c r="I68" s="59">
        <f>H68-G68</f>
        <v>29.910000000000025</v>
      </c>
      <c r="J68" s="59">
        <f>I68/G68*100</f>
        <v>10.428143086256197</v>
      </c>
    </row>
    <row r="69" spans="1:10" ht="14.25">
      <c r="A69" s="20">
        <v>63</v>
      </c>
      <c r="B69" s="85" t="s">
        <v>234</v>
      </c>
      <c r="C69" s="59">
        <v>261.04</v>
      </c>
      <c r="D69" s="59">
        <v>269.24</v>
      </c>
      <c r="E69" s="59">
        <f t="shared" si="0"/>
        <v>8.199999999999989</v>
      </c>
      <c r="F69" s="59">
        <f t="shared" si="1"/>
        <v>3.14128102972724</v>
      </c>
      <c r="G69" s="59">
        <v>236.77</v>
      </c>
      <c r="H69" s="59">
        <v>251.58</v>
      </c>
      <c r="I69" s="59">
        <f>H69-G69</f>
        <v>14.810000000000002</v>
      </c>
      <c r="J69" s="59">
        <f>I69/G69*100</f>
        <v>6.255015415804367</v>
      </c>
    </row>
    <row r="70" spans="1:10" s="63" customFormat="1" ht="12.75">
      <c r="A70" s="21"/>
      <c r="B70" s="21" t="s">
        <v>138</v>
      </c>
      <c r="C70" s="60">
        <f>SUM(C7:C69)</f>
        <v>16048.939999999999</v>
      </c>
      <c r="D70" s="60">
        <f>SUM(D7:D69)</f>
        <v>16444.460000000003</v>
      </c>
      <c r="E70" s="60">
        <f t="shared" si="0"/>
        <v>395.5200000000041</v>
      </c>
      <c r="F70" s="60">
        <f t="shared" si="1"/>
        <v>2.4644618273855103</v>
      </c>
      <c r="G70" s="60">
        <f>SUM(G7:G69)</f>
        <v>15095.400000000005</v>
      </c>
      <c r="H70" s="60">
        <f>SUM(H7:H69)</f>
        <v>15523.100000000002</v>
      </c>
      <c r="I70" s="60">
        <f>H70-G70</f>
        <v>427.6999999999971</v>
      </c>
      <c r="J70" s="60">
        <f>I70/G70*100</f>
        <v>2.833313459729434</v>
      </c>
    </row>
  </sheetData>
  <mergeCells count="8">
    <mergeCell ref="A1:J1"/>
    <mergeCell ref="A2:J2"/>
    <mergeCell ref="A3:J3"/>
    <mergeCell ref="A4:J4"/>
    <mergeCell ref="A5:A6"/>
    <mergeCell ref="B5:B6"/>
    <mergeCell ref="C5:F5"/>
    <mergeCell ref="G5:J5"/>
  </mergeCells>
  <printOptions/>
  <pageMargins left="0.34" right="0.38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2010-05-20T17:01:18Z</cp:lastPrinted>
  <dcterms:created xsi:type="dcterms:W3CDTF">1996-10-14T23:33:28Z</dcterms:created>
  <dcterms:modified xsi:type="dcterms:W3CDTF">2010-05-26T09:19:57Z</dcterms:modified>
  <cp:category/>
  <cp:version/>
  <cp:contentType/>
  <cp:contentStatus/>
</cp:coreProperties>
</file>